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80" yWindow="20" windowWidth="25360" windowHeight="14480" tabRatio="500"/>
  </bookViews>
  <sheets>
    <sheet name="Sheet1"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89" i="1" l="1"/>
  <c r="I89" i="1"/>
  <c r="J89" i="1"/>
  <c r="G90" i="1"/>
  <c r="I90" i="1"/>
  <c r="J90" i="1"/>
  <c r="G91" i="1"/>
  <c r="I91" i="1"/>
  <c r="J91" i="1"/>
  <c r="G92" i="1"/>
  <c r="I92" i="1"/>
  <c r="J92" i="1"/>
  <c r="G93" i="1"/>
  <c r="I93" i="1"/>
  <c r="J93" i="1"/>
  <c r="G94" i="1"/>
  <c r="I94" i="1"/>
  <c r="J94" i="1"/>
  <c r="J88" i="1"/>
  <c r="J102" i="1"/>
  <c r="J87" i="1"/>
  <c r="H54" i="1"/>
  <c r="J54" i="1"/>
  <c r="H55" i="1"/>
  <c r="J55" i="1"/>
  <c r="J56" i="1"/>
  <c r="J57" i="1"/>
  <c r="J58" i="1"/>
  <c r="J59" i="1"/>
  <c r="J60" i="1"/>
  <c r="H61" i="1"/>
  <c r="J61" i="1"/>
  <c r="J62" i="1"/>
  <c r="H63" i="1"/>
  <c r="J63" i="1"/>
  <c r="J64" i="1"/>
  <c r="J53" i="1"/>
  <c r="I66" i="1"/>
  <c r="I67" i="1"/>
  <c r="G68" i="1"/>
  <c r="I68" i="1"/>
  <c r="G69" i="1"/>
  <c r="I69" i="1"/>
  <c r="G70" i="1"/>
  <c r="I70" i="1"/>
  <c r="I71" i="1"/>
  <c r="G72" i="1"/>
  <c r="I72" i="1"/>
  <c r="G73" i="1"/>
  <c r="I73" i="1"/>
  <c r="I65" i="1"/>
  <c r="J65" i="1"/>
  <c r="I75" i="1"/>
  <c r="I76" i="1"/>
  <c r="I77" i="1"/>
  <c r="I78" i="1"/>
  <c r="I79" i="1"/>
  <c r="I80" i="1"/>
  <c r="I74" i="1"/>
  <c r="J74" i="1"/>
  <c r="I82" i="1"/>
  <c r="I83" i="1"/>
  <c r="I84" i="1"/>
  <c r="I85" i="1"/>
  <c r="I86" i="1"/>
  <c r="I81" i="1"/>
  <c r="J81" i="1"/>
  <c r="J52" i="1"/>
  <c r="I38" i="1"/>
  <c r="I39" i="1"/>
  <c r="I40" i="1"/>
  <c r="I41" i="1"/>
  <c r="I42" i="1"/>
  <c r="I37" i="1"/>
  <c r="J37" i="1"/>
  <c r="I44" i="1"/>
  <c r="I45" i="1"/>
  <c r="I46" i="1"/>
  <c r="I47" i="1"/>
  <c r="I48" i="1"/>
  <c r="I49" i="1"/>
  <c r="I43" i="1"/>
  <c r="J43" i="1"/>
  <c r="J36" i="1"/>
  <c r="I23" i="1"/>
  <c r="I24" i="1"/>
  <c r="I25" i="1"/>
  <c r="I26" i="1"/>
  <c r="I27" i="1"/>
  <c r="I22" i="1"/>
  <c r="J22" i="1"/>
  <c r="I29" i="1"/>
  <c r="I30" i="1"/>
  <c r="I31" i="1"/>
  <c r="I32" i="1"/>
  <c r="I33" i="1"/>
  <c r="I34" i="1"/>
  <c r="I28" i="1"/>
  <c r="J28" i="1"/>
  <c r="J21" i="1"/>
  <c r="I9" i="1"/>
  <c r="I10" i="1"/>
  <c r="I11" i="1"/>
  <c r="I12" i="1"/>
  <c r="I13" i="1"/>
  <c r="I14" i="1"/>
  <c r="I8" i="1"/>
  <c r="J8" i="1"/>
  <c r="I16" i="1"/>
  <c r="I17" i="1"/>
  <c r="I18" i="1"/>
  <c r="I19" i="1"/>
  <c r="I20" i="1"/>
  <c r="I15" i="1"/>
  <c r="J15" i="1"/>
  <c r="J7" i="1"/>
  <c r="J99" i="1"/>
  <c r="K102" i="1"/>
  <c r="J103" i="1"/>
  <c r="K103" i="1"/>
  <c r="J104" i="1"/>
  <c r="K104" i="1"/>
  <c r="J105" i="1"/>
  <c r="K105" i="1"/>
  <c r="K106" i="1"/>
  <c r="J106" i="1"/>
  <c r="I88" i="1"/>
  <c r="I102" i="1"/>
  <c r="I54" i="1"/>
  <c r="I55" i="1"/>
  <c r="G56" i="1"/>
  <c r="I56" i="1"/>
  <c r="G57" i="1"/>
  <c r="I57" i="1"/>
  <c r="G58" i="1"/>
  <c r="I58" i="1"/>
  <c r="G59" i="1"/>
  <c r="I59" i="1"/>
  <c r="G60" i="1"/>
  <c r="I60" i="1"/>
  <c r="G61" i="1"/>
  <c r="I61" i="1"/>
  <c r="G62" i="1"/>
  <c r="I62" i="1"/>
  <c r="G63" i="1"/>
  <c r="I63" i="1"/>
  <c r="G64" i="1"/>
  <c r="I64" i="1"/>
  <c r="I53" i="1"/>
  <c r="I103" i="1"/>
  <c r="I104" i="1"/>
  <c r="I105" i="1"/>
  <c r="I106" i="1"/>
  <c r="I87" i="1"/>
  <c r="I52" i="1"/>
  <c r="I36" i="1"/>
  <c r="I21" i="1"/>
  <c r="I7" i="1"/>
  <c r="I99" i="1"/>
  <c r="H67" i="1"/>
  <c r="H66" i="1"/>
</calcChain>
</file>

<file path=xl/sharedStrings.xml><?xml version="1.0" encoding="utf-8"?>
<sst xmlns="http://schemas.openxmlformats.org/spreadsheetml/2006/main" count="265" uniqueCount="138">
  <si>
    <t xml:space="preserve">PHỤ LỤC 2: BẢNG TỔNG HỢP KINH PHÍ THỰC HIỆN </t>
  </si>
  <si>
    <t xml:space="preserve">Tỷ giá tạm tính 1 USD = </t>
  </si>
  <si>
    <t>VND</t>
  </si>
  <si>
    <t>STT</t>
  </si>
  <si>
    <t>Tên hoạt động và nội dung công việc</t>
  </si>
  <si>
    <t>Thời gian thực hiện</t>
  </si>
  <si>
    <t>Đơn vị tính</t>
  </si>
  <si>
    <t>Số lượng</t>
  </si>
  <si>
    <t>Số ngày</t>
  </si>
  <si>
    <t>Đơn giá</t>
  </si>
  <si>
    <t>Tổng kinh phí</t>
  </si>
  <si>
    <t>Phương thức thực hiện</t>
  </si>
  <si>
    <t>Kết quả đầu ra</t>
  </si>
  <si>
    <t>Ghi chú</t>
  </si>
  <si>
    <t>VNĐ</t>
  </si>
  <si>
    <t>USD</t>
  </si>
  <si>
    <t>I</t>
  </si>
  <si>
    <t>WP1: Khởi động dự án và triển khai xây dựng các chương trình tiền xử lý và xử lý đầu ra của mô hình (PrePos)</t>
  </si>
  <si>
    <r>
      <t>0</t>
    </r>
    <r>
      <rPr>
        <b/>
        <sz val="12"/>
        <color theme="1"/>
        <rFont val="Times New Roman"/>
        <family val="1"/>
      </rPr>
      <t>7/2017</t>
    </r>
    <r>
      <rPr>
        <b/>
        <sz val="12"/>
        <color theme="1"/>
        <rFont val="Times New Roman"/>
        <family val="1"/>
      </rPr>
      <t xml:space="preserve"> -</t>
    </r>
    <r>
      <rPr>
        <b/>
        <sz val="12"/>
        <color theme="1"/>
        <rFont val="Times New Roman"/>
        <family val="1"/>
      </rPr>
      <t>03</t>
    </r>
    <r>
      <rPr>
        <b/>
        <sz val="12"/>
        <color theme="1"/>
        <rFont val="Times New Roman"/>
        <family val="1"/>
      </rPr>
      <t>/201</t>
    </r>
    <r>
      <rPr>
        <b/>
        <sz val="12"/>
        <color theme="1"/>
        <rFont val="Times New Roman"/>
        <family val="1"/>
      </rPr>
      <t>8</t>
    </r>
  </si>
  <si>
    <t>Bộ chương trình mã nguồn mở tiền xử lý và xử lý đầu ra của mô hình (PrePos)</t>
  </si>
  <si>
    <t>Hội thảo khởi động dự án và thảo luận kế hoạch chi tiết triển khai dự án
Thời gian: 1 ngày
Số lượng khách mời dự kiến: 70 người tham dự bao gồm các chuyên gia trong nước và quốc tế, các cán bộ của các đơn vị liên quan tới lĩnh vực nghiên cứu ....
Địa điểm tổ chức: Hà Nội</t>
  </si>
  <si>
    <r>
      <t>0</t>
    </r>
    <r>
      <rPr>
        <b/>
        <i/>
        <sz val="12"/>
        <color theme="1"/>
        <rFont val="Times New Roman"/>
        <family val="1"/>
      </rPr>
      <t>7</t>
    </r>
    <r>
      <rPr>
        <b/>
        <i/>
        <sz val="12"/>
        <color theme="1"/>
        <rFont val="Times New Roman"/>
        <family val="1"/>
      </rPr>
      <t>-</t>
    </r>
    <r>
      <rPr>
        <b/>
        <i/>
        <sz val="12"/>
        <color theme="1"/>
        <rFont val="Times New Roman"/>
        <family val="1"/>
      </rPr>
      <t>12</t>
    </r>
    <r>
      <rPr>
        <b/>
        <i/>
        <sz val="12"/>
        <color theme="1"/>
        <rFont val="Times New Roman"/>
        <family val="1"/>
      </rPr>
      <t>/2017</t>
    </r>
  </si>
  <si>
    <t>Lần</t>
  </si>
  <si>
    <t>Không đấu thầu</t>
  </si>
  <si>
    <t>Biên bản Hội thảo ghi các nội dung thảo luận và kết luận về kế hoạch triển khai dự án.</t>
  </si>
  <si>
    <t xml:space="preserve">Phía Việt Nam sẽ kết hợp với các chuyên gia CSIRO để thiết kế nội dung chi tiết của Hội thảo  </t>
  </si>
  <si>
    <t>Thuê hội trường (giá bao gồm hệ thống âm thanh, ánh sáng, màn chiếu …)</t>
  </si>
  <si>
    <t>Phòng</t>
  </si>
  <si>
    <t>Áp dụng định mức theo thông tư 219/2009/TT-BTC
Theo thông tư 192/2011/TT-BTC</t>
  </si>
  <si>
    <t>Giải khát giữa giờ (cà phê, bánh ngọt …)</t>
  </si>
  <si>
    <t>Văn phòng phẩm (giấy, bút …)</t>
  </si>
  <si>
    <t>Bộ</t>
  </si>
  <si>
    <t>In ấn (thẻ tên ...), photo tài liệu hội thảo</t>
  </si>
  <si>
    <t>In Banner và Backdrop trang trí hội thảo</t>
  </si>
  <si>
    <t>Trọn gói</t>
  </si>
  <si>
    <t>Chi bù tiền ăn (không bao gồm chuyên gia nước ngoài)</t>
  </si>
  <si>
    <t>Người/Ngày</t>
  </si>
  <si>
    <t>Ba chuyên gia sang tham dự hội thảo "Hội thảo khởi động dự án và thảo luận kế hoạch chi tiết triển khai dự án" và làm việc với các nhà khoa học Việt Nam về các kế hoạch triển khai dự án 
Thời gian: 8 ngày làm việc (chưa bao gồm thời gian di chuyển)
Chi chú: Thời điểm sang làm việc tại Việt Nam của các chuyên gia có thể khác nhau phụ thuộc vào tính chất của công việc</t>
  </si>
  <si>
    <t>Người</t>
  </si>
  <si>
    <t>Bản kế hoạch chi tiết triển khai dự án</t>
  </si>
  <si>
    <t>Vé máy bay khứ hồi (Melbourne - Hà Nội - Melbourne)</t>
  </si>
  <si>
    <t>Vé</t>
  </si>
  <si>
    <t xml:space="preserve">
Áp dụng định mức theo thông tư số 01/2010/TT-BTC
</t>
  </si>
  <si>
    <t>Thuê phương tiện đi lại sân bay - khách sạn - sân bay tại Việt Nam (1,000.000 đồng/người/lượt đi và về)</t>
  </si>
  <si>
    <t>Thuê phương tiện đi lại làm việc hàng ngày tại nơi công tác (1.000.000/ngày/xe)</t>
  </si>
  <si>
    <t>Xe/ngày</t>
  </si>
  <si>
    <t>Tiền phòng ngủ</t>
  </si>
  <si>
    <t xml:space="preserve">Tiền ăn </t>
  </si>
  <si>
    <t>II</t>
  </si>
  <si>
    <t>WP2: Phát triển hệ thống mô hình kết hợp AOGCM cho khu vực Biển Đông và Việt Nam</t>
  </si>
  <si>
    <t>10/2017-06/2018</t>
  </si>
  <si>
    <t>Bộ mô hình AOGCM mã nguồn mở phù hợp với khu vực Biển Đông và Việt Nam</t>
  </si>
  <si>
    <t>Ba chuyên gia sang làm việc với các nhà khoa học Việt Nam để thống nhất các phương án khu vực hoá AOGCM cho Việt Nam và tham dự hội thảo Hội thảo khoa học lựa chọn cấu hình của AOGCM cho khu vực Biển Đông và Việt Nam: Miền tính, độ phân giải, các sơ đồ tham số hoá,... 
Thời gian: 8 ngày làm việc (chưa bao gồm thời gian di chuyển)
Chi chú: Thời điểm sang làm việc tại Việt Nam của các chuyên gia có thể khác nhau phụ thuộc vào tính chất của công việc</t>
  </si>
  <si>
    <t>07-10/2017</t>
  </si>
  <si>
    <t>Báo cáo mô tả kết quả làm việc với phía Việt Nam về các phương án khu vực hoá, cấu hình thử nghiệm cho mô hình, kích thước miền tính, độ phân giải, các sơ đồ tham số hóa,...</t>
  </si>
  <si>
    <t xml:space="preserve">Kinh phí áp dụng cho 1 chuyên gia
Theo thông tư số 01/2010/TT-BTC
</t>
  </si>
  <si>
    <t>Hội thảo khoa học lựa chọn cấu hình của AOGCM cho khu vực Biển Đông và Việt Nam: Miền tính, độ phân giải, các sơ đồ tham số hoá,... 
Thời gian: 2 ngày trong khoảng tháng 7-10/2017
Số lượng khách mời dự kiến: 70 người tham dự bao gồm các chuyên gia trong nước và quốc tế, các cán bộ của các đơn vị liên quan tới lĩnh vực nghiên cứu ...
Địa điểm tổ chức: Hà Nội</t>
  </si>
  <si>
    <r>
      <rPr>
        <b/>
        <i/>
        <sz val="12"/>
        <color theme="1"/>
        <rFont val="Times New Roman"/>
        <family val="1"/>
      </rPr>
      <t>09</t>
    </r>
    <r>
      <rPr>
        <b/>
        <i/>
        <sz val="12"/>
        <color theme="1"/>
        <rFont val="Times New Roman"/>
        <family val="1"/>
      </rPr>
      <t>-1</t>
    </r>
    <r>
      <rPr>
        <b/>
        <i/>
        <sz val="12"/>
        <color theme="1"/>
        <rFont val="Times New Roman"/>
        <family val="1"/>
      </rPr>
      <t>2</t>
    </r>
    <r>
      <rPr>
        <b/>
        <i/>
        <sz val="12"/>
        <color theme="1"/>
        <rFont val="Times New Roman"/>
        <family val="1"/>
      </rPr>
      <t>/2017</t>
    </r>
  </si>
  <si>
    <t>Biên bản Hội thảo ghi nội dung thảo luận và kết luận của Hội thảo về các phương án khu vực hoá AOGCM cho vùng Biển Đông và Việt Nam.</t>
  </si>
  <si>
    <t>Theo thông tư 219/2009/TT-BTC
Theo thông tư 192/2011/TT-BTC</t>
  </si>
  <si>
    <t>III</t>
  </si>
  <si>
    <t>WP3: Xây dựng bộ chương trình dò tìm xoáy (TD-Detect) từ đầu ra của AOGCM</t>
  </si>
  <si>
    <t>Bộ chương trình dò tìm xoáy mã nguồn mở phù hợp với đầu ra của AOGCM</t>
  </si>
  <si>
    <t>IV</t>
  </si>
  <si>
    <t>WP4: Xây dựng và phát triển phương pháp tổ hợp sản phẩm (TC-Ens)</t>
  </si>
  <si>
    <t>01-09/2018</t>
  </si>
  <si>
    <t>Bộ chương trình mã nguồn mở tạo sản phẩm dự báo tổ hợp (TC-Ens) từ các kết quả dự báo thành phần</t>
  </si>
  <si>
    <t>Ba chuyên gia sang làm việc với các nhà khoa học Việt Nam về các phương pháp tổ hợp sản phẩm dự báo
Thời gian: 8 ngày làm việc chưa kể ngày đi và về
Ghi chú: Thời điểm sang làm việc tại Việt Nam của các chuyên gia có thể khác nhau phụ thuộc vào tính chất của công việc</t>
  </si>
  <si>
    <r>
      <t>02-0</t>
    </r>
    <r>
      <rPr>
        <b/>
        <i/>
        <sz val="12"/>
        <color theme="1"/>
        <rFont val="Times New Roman"/>
        <family val="1"/>
      </rPr>
      <t>8</t>
    </r>
    <r>
      <rPr>
        <b/>
        <i/>
        <sz val="12"/>
        <color theme="1"/>
        <rFont val="Times New Roman"/>
        <family val="1"/>
      </rPr>
      <t>/2018</t>
    </r>
  </si>
  <si>
    <t>Báo cáo mô tả kết quả làm việc với phía Việt Nam về các phương pháp tổ hợp sản phẩm dự báo</t>
  </si>
  <si>
    <t>Hội thảo về các phương án tổ hợp sản phẩm bão dự báo nhằm lựa chọn phương án tối ưu
Thời gian: 2 ngày. Địa điểm: Hà Nội
Số lượng khách mời dự kiến: 70 người tham dự bao gồm các chuyên gia trong nước và quốc tế, các cán bộ của các đơn vị liên quan tới lĩnh vực nghiên cứu ....</t>
  </si>
  <si>
    <r>
      <t>0</t>
    </r>
    <r>
      <rPr>
        <b/>
        <i/>
        <sz val="12"/>
        <color theme="1"/>
        <rFont val="Times New Roman"/>
        <family val="1"/>
      </rPr>
      <t>7</t>
    </r>
    <r>
      <rPr>
        <b/>
        <i/>
        <sz val="12"/>
        <color theme="1"/>
        <rFont val="Times New Roman"/>
        <family val="1"/>
      </rPr>
      <t>-0</t>
    </r>
    <r>
      <rPr>
        <b/>
        <i/>
        <sz val="12"/>
        <color theme="1"/>
        <rFont val="Times New Roman"/>
        <family val="1"/>
      </rPr>
      <t>9</t>
    </r>
    <r>
      <rPr>
        <b/>
        <i/>
        <sz val="12"/>
        <color theme="1"/>
        <rFont val="Times New Roman"/>
        <family val="1"/>
      </rPr>
      <t>/2018</t>
    </r>
  </si>
  <si>
    <t>Biên bản Hội thảo ghi các nội dung thảo luận và kết luận về các phương án tổ hợp sản phẩm bão từ các dự báo thành phần</t>
  </si>
  <si>
    <t>Chi bù tiền ăn</t>
  </si>
  <si>
    <t>V</t>
  </si>
  <si>
    <t>WP5: Xây dựng và phát triển hệ thống điều khiển tự động dự báo nghiệp vụ (AUTO-Ope)</t>
  </si>
  <si>
    <t>10/2018-06/2019</t>
  </si>
  <si>
    <t>Bộ chương trình điều khiển tự động hệ thống dự báo nghiệp vụ (AUTO-Ope) viết cho hệ điều hành của hệ thống tính toán hiệu năng cao</t>
  </si>
  <si>
    <t>VI</t>
  </si>
  <si>
    <t>WP6: Thử nghiệm mô phỏng và dự báo bằng HTNV-DBBHM và đánh giá sai số</t>
  </si>
  <si>
    <t>01/2018-03/2019</t>
  </si>
  <si>
    <t>Kết quả thử nghiệm và đánh giá sai số dự báo của HTNV-DBBHM</t>
  </si>
  <si>
    <t>VII</t>
  </si>
  <si>
    <t>WP7: Đào tạo nguồn nhân lực, chuyển giao công nghệ</t>
  </si>
  <si>
    <t>07/2017-06/2019</t>
  </si>
  <si>
    <t>4 cán bộ trẻ được đào tạo và 3 cán bộ khác đi làm việc và trao đổi khoa học tại CSIRO. Hệ thống HTNV-DBBHM được cài đặt và chuyển giao cho Việt Nam chạy được ở chế độ nghiệp vụ.</t>
  </si>
  <si>
    <t>Bốn cán bộ trẻ được gửi đi đào tạo ở CSIRO về các nội dung khoa học: 1) Hệ thống mô hình AOGCM, 2) Công nghệ xử lý Pre-Pos Processing, 3) Kỹ thuật dò tìm xoáy, và 4) Phương pháp tổ hợp dự báo bão.  
Thời gian đào tạo: Ba tháng rưỡi (107 ngày)</t>
  </si>
  <si>
    <r>
      <t>05-1</t>
    </r>
    <r>
      <rPr>
        <b/>
        <i/>
        <sz val="12"/>
        <color theme="1"/>
        <rFont val="Times New Roman"/>
        <family val="1"/>
      </rPr>
      <t>2</t>
    </r>
    <r>
      <rPr>
        <b/>
        <i/>
        <sz val="12"/>
        <color theme="1"/>
        <rFont val="Times New Roman"/>
        <family val="1"/>
      </rPr>
      <t>/2018</t>
    </r>
  </si>
  <si>
    <t>Mỗi người trong 4 cán bộ trẻ phải nắm vững và làm chủ được 1 trong 4 nội dung sau kèm theo báo cáo thu hoạch trong quá trình đào tạo: 1) Hệ thống mô hình AOGCM, 2) Công nghệ xử lý Pre-Pos Processing, 3) Kỹ thuật dò tìm xoáy, và 4) Phương pháp tổ hợp dự báo bão.</t>
  </si>
  <si>
    <t>Vé máy bay khứ hồi Hà Nội - Melbourne - Hà Nội</t>
  </si>
  <si>
    <t xml:space="preserve">Vé </t>
  </si>
  <si>
    <t>Kinh phí áp dụng cho 1 cán bộ Việt Nam
Theo thông tư 102/2012/TT-BTC</t>
  </si>
  <si>
    <t>Thuê phương tiện đi từ nhà - sân bay và ngược lại tại Việt Nam</t>
  </si>
  <si>
    <t>Xe</t>
  </si>
  <si>
    <t>Thuê phương tiện đi lại sân bay - khách sạn - sân bay ở Melbourne</t>
  </si>
  <si>
    <t>Thuê phương tiện đi lại làm việc hàng ngày tại nơi công tác</t>
  </si>
  <si>
    <t>Tiền bảo hiểm chăm sóc sức khỏe</t>
  </si>
  <si>
    <t>Phí visa</t>
  </si>
  <si>
    <t>Tiền thuê phòng nghỉ trong thời gian 30 ngày đầu tiên</t>
  </si>
  <si>
    <t>Tiền thuê phòng nghỉ cho thời gian còn lại (75 USD x 2/3 = 50 USD)</t>
  </si>
  <si>
    <t xml:space="preserve">Tiền ăn và tiêu vặt cho 30 ngày đầu tiên </t>
  </si>
  <si>
    <t>Tiền ăn và tiêu vặt cho thời gian còn lại (70 USD x 2/3 = 46,67 USD)</t>
  </si>
  <si>
    <r>
      <t xml:space="preserve">Phí đào tạo cho CSIRO (Có văn bản kèm theo), bao gồm: </t>
    </r>
    <r>
      <rPr>
        <b/>
        <i/>
        <sz val="12"/>
        <color theme="1"/>
        <rFont val="Times New Roman"/>
        <family val="1"/>
      </rPr>
      <t>(1)</t>
    </r>
    <r>
      <rPr>
        <i/>
        <sz val="12"/>
        <color theme="1"/>
        <rFont val="Times New Roman"/>
        <family val="1"/>
      </rPr>
      <t xml:space="preserve"> Giảng bài trên lớp về hệ thống mô hình AOGCM: </t>
    </r>
    <r>
      <rPr>
        <b/>
        <i/>
        <sz val="12"/>
        <color theme="1"/>
        <rFont val="Times New Roman"/>
        <family val="1"/>
      </rPr>
      <t>5 buổi x 1000USD/buổi = 5,000 USD</t>
    </r>
    <r>
      <rPr>
        <i/>
        <sz val="12"/>
        <color theme="1"/>
        <rFont val="Times New Roman"/>
        <family val="1"/>
      </rPr>
      <t xml:space="preserve">; </t>
    </r>
    <r>
      <rPr>
        <b/>
        <i/>
        <sz val="12"/>
        <color theme="1"/>
        <rFont val="Times New Roman"/>
        <family val="1"/>
      </rPr>
      <t>(2)</t>
    </r>
    <r>
      <rPr>
        <i/>
        <sz val="12"/>
        <color theme="1"/>
        <rFont val="Times New Roman"/>
        <family val="1"/>
      </rPr>
      <t xml:space="preserve"> Hướng dẫn thực hành chạy mô hình AOGCM trên hệ thống tính toán hiệu năng cao của CSIRO: </t>
    </r>
    <r>
      <rPr>
        <b/>
        <i/>
        <sz val="12"/>
        <color theme="1"/>
        <rFont val="Times New Roman"/>
        <family val="1"/>
      </rPr>
      <t>5 buổi x 800 USD/buổi = 4,000 USD</t>
    </r>
  </si>
  <si>
    <t>Đợt</t>
  </si>
  <si>
    <t>CSIRO khuyến mãi toàn bộ chi phí thực tập, làm việc, giờ thực hành trên hệ thống máy tính và các chi phí phát sinh khác (nếu có).</t>
  </si>
  <si>
    <t>Ba nhà khoa học Việt Nam sang CSIRO làm việc, trao đổi khoa học với chuyên gia về các nội dung về 1) Hệ thống tự động hoá trong nghiệp vụ, và 2) Vấn đề khu vực hoá AOGCM cho vùng Biển Đông và Việt Nam
Thời gian: 4 tuần (30 ngày)</t>
  </si>
  <si>
    <r>
      <t>01-0</t>
    </r>
    <r>
      <rPr>
        <b/>
        <i/>
        <sz val="12"/>
        <color theme="1"/>
        <rFont val="Times New Roman"/>
        <family val="1"/>
      </rPr>
      <t>7</t>
    </r>
    <r>
      <rPr>
        <b/>
        <i/>
        <sz val="12"/>
        <color theme="1"/>
        <rFont val="Times New Roman"/>
        <family val="1"/>
      </rPr>
      <t>/2018</t>
    </r>
  </si>
  <si>
    <t>Báo cáo kết quả làm việc, kết quả thử nghiệm tính ổn định của hệ thống tự động và tính hợp lý của phương án khu vực hoá khi thực hiện tính toán trên hệ thống máy tính CSIRO.</t>
  </si>
  <si>
    <t>Trong quá trình làm việc tại CSIRO sẽ truy cập từ xa để thử nghiệm trên hệ thống máy tính ở Việt Nam</t>
  </si>
  <si>
    <t>Tiền thuê phòng nghỉ</t>
  </si>
  <si>
    <t>Tiền ăn và tiêu vặt</t>
  </si>
  <si>
    <t>Hội thảo tổng kết dự án, công bố sản phẩm dự án.
Thời gian: 1 ngày. Địa điểm: Hà Nội
Số lượng khách mời dự kiến: 70 người tham dự bao gồm các chuyên gia trong nước và quốc tế, các cán bộ của các đơn vị liên quan tới lĩnh vực nghiên cứu ....</t>
  </si>
  <si>
    <r>
      <t>0</t>
    </r>
    <r>
      <rPr>
        <b/>
        <i/>
        <sz val="12"/>
        <color theme="1"/>
        <rFont val="Times New Roman"/>
        <family val="1"/>
      </rPr>
      <t>4-06</t>
    </r>
    <r>
      <rPr>
        <b/>
        <i/>
        <sz val="12"/>
        <color theme="1"/>
        <rFont val="Times New Roman"/>
        <family val="1"/>
      </rPr>
      <t>/2019</t>
    </r>
  </si>
  <si>
    <t>Báo cáo tổng kết dự án</t>
  </si>
  <si>
    <t>Ba chuyên gia sang dự hội thảo, thực hiện các thủ tục chuyển giao công nghệ, công bố sản phẩm dự án.
Thời gian:  8 ngày làm việc + chưa kể ngày đi/về
Ghi chú: Thời điểm sang làm việc tại Việt Nam của các chuyên gia có thể khác nhau phụ thuộc vào tính chất của công việc</t>
  </si>
  <si>
    <r>
      <t>02-0</t>
    </r>
    <r>
      <rPr>
        <b/>
        <i/>
        <sz val="12"/>
        <color theme="1"/>
        <rFont val="Times New Roman"/>
        <family val="1"/>
      </rPr>
      <t>6</t>
    </r>
    <r>
      <rPr>
        <b/>
        <i/>
        <sz val="12"/>
        <color theme="1"/>
        <rFont val="Times New Roman"/>
        <family val="1"/>
      </rPr>
      <t>/2019</t>
    </r>
  </si>
  <si>
    <t>Biên bản bàn giao HTNV-DBBHM cho phía Việt Nam.</t>
  </si>
  <si>
    <t>VIII</t>
  </si>
  <si>
    <t>WP8: Mua sắp trang thiết bị, phần mềm máy tính</t>
  </si>
  <si>
    <t>07-09/2017</t>
  </si>
  <si>
    <t>Một hệ thống tính toán hiệu năng cao đã cài đặt các phần mềm chuyên dụng và HTNV-DBBHM chạy ở chế độ nghiệp vụ (chương trình mã nguồn mở)</t>
  </si>
  <si>
    <t>Mua hệ thống tính toán hiệu năng cao và hệ thống lưu trữ dữ liệu phục vụ việc thử nghiệm hệ thống mô hình dự báo HTNV-DBBHM) trong quá trình triển khai dự án đồng thời sẽ là hệ thống chạy dự báo nghiệp vụ sau khi dự án kết thúc.</t>
  </si>
  <si>
    <t>Đấu thầu</t>
  </si>
  <si>
    <t>Hệ thống máy tính hiệu năng cao, và hệ thống lưu trữ được lắp đặt và cài đặt đầy đủ các mô hình phần mềm đảm bảo điều đủ kiện để chạy hệ thống HTNV-DBBHM</t>
  </si>
  <si>
    <t>Cấu hình hệ thống được thiết kế theo yêu cầu của các chuyên gia CSIRO (có văn bản kèm theo), giá thành lựa chọn từ thị trường Việt Nam.</t>
  </si>
  <si>
    <r>
      <t>Storage Server (</t>
    </r>
    <r>
      <rPr>
        <b/>
        <i/>
        <sz val="12"/>
        <rFont val="Times New Roman"/>
        <family val="1"/>
      </rPr>
      <t>Mininum configuration</t>
    </r>
    <r>
      <rPr>
        <i/>
        <sz val="12"/>
        <rFont val="Times New Roman"/>
        <family val="1"/>
      </rPr>
      <t xml:space="preserve">): 
- CPU: 1x CPU 6 core 2.4GHz, 15MB cache
- RAM: 64GB DDR4 ECC Registered 2133MHz
- </t>
    </r>
    <r>
      <rPr>
        <i/>
        <sz val="12"/>
        <rFont val="Times New Roman"/>
        <family val="1"/>
      </rPr>
      <t>HDD: 27x 4TB</t>
    </r>
    <r>
      <rPr>
        <i/>
        <sz val="12"/>
        <rFont val="Times New Roman"/>
        <family val="1"/>
      </rPr>
      <t xml:space="preserve"> 128MB Cache, 7200RPM, 3.5" Enterprise SATA/SAS
- Raid Controller: 512MB 800MHz DDR II SDRAM, 6x miniSAS internal connectors, 1x miniSAS external connectors, supports RAID 1, 10, 5, 50, 6, 60</t>
    </r>
  </si>
  <si>
    <t>Dự toán dựa theo đề nghị của các chuyên gia cho phù hợp với cấu hình của hệ thống mô hình sẽ được cài đặt (Kèm theo thư trả lời của Chuyên gia về khả năng cắt giảm cấu hình và kinh phí tương ứng)</t>
  </si>
  <si>
    <r>
      <t>Headnode and Compute nodes (</t>
    </r>
    <r>
      <rPr>
        <b/>
        <i/>
        <sz val="11"/>
        <rFont val="Times New Roman"/>
        <family val="1"/>
      </rPr>
      <t>Minimum configuration</t>
    </r>
    <r>
      <rPr>
        <i/>
        <sz val="11"/>
        <rFont val="Times New Roman"/>
        <family val="1"/>
      </rPr>
      <t>):
- CPU: 2x CPU 10 core 2.2GHz, 25MB Cache
- RAM: 32GB DDR4 ECC Registered 2133MHz
- HDD: 2x 120GB SSD</t>
    </r>
  </si>
  <si>
    <t>Gigabit switch:
24 Gigabit ports</t>
  </si>
  <si>
    <t>Smart UPS:
6KVA/4.2KW with enough capacity for the system to run at full load in 5 minutes on battery</t>
  </si>
  <si>
    <t>Rack 42U</t>
  </si>
  <si>
    <t>Accessories:
Gigabit cables, power cables, Aptomat, …</t>
  </si>
  <si>
    <t>TỔNG CỘNG</t>
  </si>
  <si>
    <t>Ghi chú: Tỷ giá áp dụng là tỷ giá mua chuyển khoản ngày 16/3/2017 của BIDV là 22.730 VNĐ</t>
  </si>
  <si>
    <t>Máy móc</t>
  </si>
  <si>
    <t>Đoàn ra</t>
  </si>
  <si>
    <t>Đoàn vào</t>
  </si>
  <si>
    <t>Hội thảo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</si>
</sst>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0_);_(* \(#,##0.00\);_(* &quot;-&quot;??_);_(@_)"/>
    <numFmt numFmtId="166" formatCode="#,##0.00_ ;\-#,##0.00\ "/>
    <numFmt numFmtId="167" formatCode="_(* #,##0_);_(* \(#,##0\);_(* &quot;-&quot;??_);_(@_)"/>
  </numFmts>
  <fonts count="15" x14ac:knownFonts="1">
    <font>
      <sz val="12"/>
      <color theme="1"/>
      <name val="Calibri"/>
      <family val="2"/>
      <scheme val="minor"/>
    </font>
    <font>
      <sz val="12"/>
      <color theme="1"/>
      <name val="Calibri"/>
      <family val="2"/>
      <scheme val="minor"/>
    </font>
    <font>
      <b/>
      <sz val="14"/>
      <color theme="1"/>
      <name val="Times New Roman"/>
      <family val="1"/>
    </font>
    <font>
      <b/>
      <sz val="12"/>
      <color theme="1"/>
      <name val="Times New Roman"/>
      <family val="1"/>
    </font>
    <font>
      <b/>
      <i/>
      <sz val="12"/>
      <color theme="1"/>
      <name val="Times New Roman"/>
      <family val="1"/>
    </font>
    <font>
      <b/>
      <i/>
      <sz val="12"/>
      <color theme="0"/>
      <name val="Times New Roman"/>
      <family val="1"/>
    </font>
    <font>
      <sz val="11"/>
      <color theme="1"/>
      <name val="Calibri"/>
      <family val="3"/>
      <scheme val="minor"/>
    </font>
    <font>
      <sz val="12"/>
      <color theme="1"/>
      <name val="Times New Roman"/>
      <family val="1"/>
    </font>
    <font>
      <i/>
      <sz val="12"/>
      <color theme="1"/>
      <name val="Times New Roman"/>
      <family val="1"/>
    </font>
    <font>
      <i/>
      <sz val="12"/>
      <name val="Times New Roman"/>
      <family val="1"/>
    </font>
    <font>
      <b/>
      <i/>
      <sz val="12"/>
      <name val="Times New Roman"/>
      <family val="1"/>
    </font>
    <font>
      <i/>
      <sz val="11"/>
      <name val="Times New Roman"/>
      <family val="1"/>
    </font>
    <font>
      <b/>
      <i/>
      <sz val="11"/>
      <name val="Times New Roman"/>
      <family val="1"/>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165" fontId="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99">
    <xf numFmtId="0" fontId="0" fillId="0" borderId="0" xfId="0"/>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164"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vertical="center" wrapText="1"/>
    </xf>
    <xf numFmtId="0" fontId="0" fillId="0" borderId="0" xfId="0" applyFont="1" applyFill="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3" fillId="0" borderId="2" xfId="0"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quotePrefix="1"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0" fontId="3" fillId="0" borderId="0" xfId="0" applyFont="1" applyFill="1" applyAlignment="1">
      <alignment vertical="center" wrapText="1"/>
    </xf>
    <xf numFmtId="0" fontId="4" fillId="0" borderId="2" xfId="0" quotePrefix="1" applyFont="1" applyFill="1" applyBorder="1" applyAlignment="1">
      <alignment horizontal="center" vertical="center"/>
    </xf>
    <xf numFmtId="0" fontId="4" fillId="0" borderId="2" xfId="0" applyFont="1" applyFill="1" applyBorder="1" applyAlignment="1">
      <alignment vertical="center" wrapText="1"/>
    </xf>
    <xf numFmtId="165" fontId="4" fillId="0" borderId="2" xfId="3" quotePrefix="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0" borderId="2" xfId="1" applyNumberFormat="1" applyFont="1" applyFill="1" applyBorder="1" applyAlignment="1">
      <alignment horizontal="right" vertical="center" wrapText="1"/>
    </xf>
    <xf numFmtId="4" fontId="4" fillId="0" borderId="2" xfId="1" applyNumberFormat="1" applyFont="1" applyFill="1" applyBorder="1" applyAlignment="1">
      <alignment horizontal="center" vertical="center" wrapText="1"/>
    </xf>
    <xf numFmtId="165" fontId="4" fillId="0" borderId="2" xfId="0" applyNumberFormat="1" applyFont="1" applyFill="1" applyBorder="1" applyAlignment="1">
      <alignment horizontal="left" vertical="center" wrapText="1"/>
    </xf>
    <xf numFmtId="165" fontId="4" fillId="0" borderId="2" xfId="3" applyFont="1" applyFill="1" applyBorder="1" applyAlignment="1">
      <alignment horizontal="center" vertical="center" wrapText="1"/>
    </xf>
    <xf numFmtId="0" fontId="4"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3" fontId="7" fillId="0" borderId="2" xfId="1" applyNumberFormat="1" applyFont="1" applyFill="1" applyBorder="1" applyAlignment="1">
      <alignment horizontal="right" vertical="center" wrapText="1"/>
    </xf>
    <xf numFmtId="164" fontId="7" fillId="0" borderId="2" xfId="1"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165" fontId="8" fillId="0" borderId="2" xfId="3" applyFont="1" applyFill="1" applyBorder="1" applyAlignment="1">
      <alignment horizontal="center" vertical="center" wrapText="1"/>
    </xf>
    <xf numFmtId="0" fontId="7" fillId="0" borderId="0" xfId="0" applyFont="1" applyFill="1" applyAlignment="1">
      <alignment horizontal="center" vertical="center"/>
    </xf>
    <xf numFmtId="0" fontId="3" fillId="0" borderId="0" xfId="0" applyFont="1" applyFill="1" applyAlignment="1">
      <alignment horizontal="center" vertical="center"/>
    </xf>
    <xf numFmtId="0" fontId="4" fillId="0" borderId="2" xfId="0" applyFont="1" applyFill="1" applyBorder="1" applyAlignment="1">
      <alignment horizontal="left" vertical="center" wrapText="1"/>
    </xf>
    <xf numFmtId="165" fontId="4"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65" fontId="7" fillId="0" borderId="2" xfId="0" applyNumberFormat="1" applyFont="1" applyFill="1" applyBorder="1" applyAlignment="1">
      <alignment horizontal="left" vertical="center" wrapText="1"/>
    </xf>
    <xf numFmtId="0" fontId="8" fillId="0" borderId="2" xfId="0" applyFont="1" applyFill="1" applyBorder="1" applyAlignment="1">
      <alignment vertical="center"/>
    </xf>
    <xf numFmtId="4" fontId="7" fillId="0" borderId="2" xfId="1" applyNumberFormat="1" applyFont="1" applyFill="1" applyBorder="1" applyAlignment="1">
      <alignment horizontal="right"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left" vertical="center" wrapText="1"/>
    </xf>
    <xf numFmtId="14" fontId="3" fillId="0" borderId="2" xfId="0" quotePrefix="1" applyNumberFormat="1" applyFont="1" applyFill="1" applyBorder="1" applyAlignment="1">
      <alignment horizontal="center" vertical="center" wrapText="1"/>
    </xf>
    <xf numFmtId="4" fontId="3" fillId="0" borderId="2" xfId="1" applyNumberFormat="1" applyFont="1" applyFill="1" applyBorder="1" applyAlignment="1">
      <alignment horizontal="right" vertical="center" wrapText="1"/>
    </xf>
    <xf numFmtId="3" fontId="8" fillId="0" borderId="2"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43" fontId="7" fillId="0" borderId="2" xfId="1" applyFont="1" applyFill="1" applyBorder="1" applyAlignment="1">
      <alignment horizontal="right" vertical="center" wrapText="1"/>
    </xf>
    <xf numFmtId="165" fontId="7" fillId="0" borderId="2" xfId="3" applyFont="1" applyFill="1" applyBorder="1" applyAlignment="1">
      <alignment horizontal="center" vertical="center" wrapText="1"/>
    </xf>
    <xf numFmtId="3" fontId="8" fillId="0" borderId="2" xfId="0" applyNumberFormat="1" applyFont="1" applyFill="1" applyBorder="1" applyAlignment="1">
      <alignment horizontal="left" vertical="center"/>
    </xf>
    <xf numFmtId="3"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right" vertical="center"/>
    </xf>
    <xf numFmtId="166" fontId="7" fillId="0" borderId="2" xfId="1" applyNumberFormat="1" applyFont="1" applyFill="1" applyBorder="1" applyAlignment="1">
      <alignment horizontal="right" vertical="center"/>
    </xf>
    <xf numFmtId="165" fontId="8" fillId="0" borderId="2" xfId="3" applyFont="1" applyFill="1" applyBorder="1" applyAlignment="1">
      <alignment vertical="center" wrapText="1"/>
    </xf>
    <xf numFmtId="164" fontId="4" fillId="0" borderId="2" xfId="0" applyNumberFormat="1" applyFont="1" applyFill="1" applyBorder="1" applyAlignment="1">
      <alignment horizontal="center" vertical="center"/>
    </xf>
    <xf numFmtId="165" fontId="4" fillId="0" borderId="2" xfId="3"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left" vertical="center" wrapText="1"/>
    </xf>
    <xf numFmtId="167" fontId="3" fillId="0" borderId="2" xfId="1" applyNumberFormat="1"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164" fontId="7" fillId="0" borderId="0" xfId="0" applyNumberFormat="1" applyFont="1" applyFill="1" applyAlignment="1">
      <alignment horizontal="right" vertical="center" wrapText="1"/>
    </xf>
    <xf numFmtId="167" fontId="7" fillId="0" borderId="0" xfId="1" applyNumberFormat="1" applyFont="1" applyFill="1" applyAlignment="1">
      <alignment horizontal="center" vertical="center" wrapText="1"/>
    </xf>
    <xf numFmtId="0" fontId="7" fillId="0" borderId="0" xfId="0" applyFont="1" applyFill="1" applyAlignment="1">
      <alignment vertical="center"/>
    </xf>
    <xf numFmtId="165" fontId="7" fillId="0" borderId="0" xfId="0" applyNumberFormat="1" applyFont="1" applyFill="1" applyAlignment="1">
      <alignment horizontal="left" vertical="center" wrapText="1"/>
    </xf>
    <xf numFmtId="167" fontId="7" fillId="0" borderId="2" xfId="1" applyNumberFormat="1" applyFont="1" applyFill="1" applyBorder="1" applyAlignment="1">
      <alignment horizontal="center" vertical="center" wrapText="1"/>
    </xf>
    <xf numFmtId="10" fontId="7" fillId="0" borderId="2" xfId="1" applyNumberFormat="1" applyFont="1" applyFill="1" applyBorder="1" applyAlignment="1">
      <alignment horizontal="center" vertical="center" wrapText="1"/>
    </xf>
    <xf numFmtId="0" fontId="7" fillId="0" borderId="0" xfId="0" applyFont="1" applyFill="1" applyAlignment="1">
      <alignment horizontal="left" vertical="center" wrapText="1"/>
    </xf>
    <xf numFmtId="167" fontId="7" fillId="0" borderId="2" xfId="0" applyNumberFormat="1" applyFont="1" applyFill="1" applyBorder="1" applyAlignment="1">
      <alignment horizontal="right" vertical="center" wrapText="1"/>
    </xf>
    <xf numFmtId="3" fontId="3" fillId="0" borderId="4"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9" fontId="3" fillId="0" borderId="4" xfId="2"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9" fontId="3" fillId="0" borderId="5" xfId="2"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167" fontId="3" fillId="0" borderId="0" xfId="1" applyNumberFormat="1" applyFont="1" applyFill="1" applyAlignment="1">
      <alignment horizontal="center" vertical="center" wrapText="1"/>
    </xf>
  </cellXfs>
  <cellStyles count="22">
    <cellStyle name="Comma" xfId="1" builtinId="3"/>
    <cellStyle name="Comma 2" xf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13</xdr:col>
      <xdr:colOff>0</xdr:colOff>
      <xdr:row>4</xdr:row>
      <xdr:rowOff>188360</xdr:rowOff>
    </xdr:from>
    <xdr:ext cx="514170" cy="264560"/>
    <xdr:sp macro="" textlink="">
      <xdr:nvSpPr>
        <xdr:cNvPr id="2" name="TextBox 1"/>
        <xdr:cNvSpPr txBox="1"/>
      </xdr:nvSpPr>
      <xdr:spPr>
        <a:xfrm flipH="1" flipV="1">
          <a:off x="11518900" y="493160"/>
          <a:ext cx="5141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1.%20Du%20an%20First/4.%20Hop%20phan%201a/4.%20Vong%202/2.%20HO%20SO%20THUONG%20THAO/1.%20DH%20KHTN/Ho%20so%20ban%20chot%20-%20final/Ho%20so%20xin%20NOL/Annex%203%20-%2017VNU2_%20General%20Estimation%20for%20Subproject%20Implementation%20Expenditur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nex 3"/>
    </sheetNames>
    <sheetDataSet>
      <sheetData sheetId="0" refreshError="1">
        <row r="89">
          <cell r="G89">
            <v>385046200</v>
          </cell>
        </row>
        <row r="90">
          <cell r="G90">
            <v>155893705</v>
          </cell>
        </row>
        <row r="91">
          <cell r="G91">
            <v>7000840</v>
          </cell>
        </row>
        <row r="92">
          <cell r="G92">
            <v>68883265</v>
          </cell>
        </row>
        <row r="93">
          <cell r="G93">
            <v>12376485</v>
          </cell>
        </row>
        <row r="94">
          <cell r="G94">
            <v>2500300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abSelected="1" workbookViewId="0">
      <selection activeCell="M8" sqref="M8"/>
    </sheetView>
  </sheetViews>
  <sheetFormatPr baseColWidth="10" defaultColWidth="9.1640625" defaultRowHeight="15" x14ac:dyDescent="0"/>
  <cols>
    <col min="1" max="1" width="6" style="47" customWidth="1"/>
    <col min="2" max="2" width="49.83203125" style="79" customWidth="1"/>
    <col min="3" max="3" width="10.6640625" style="79" customWidth="1"/>
    <col min="4" max="4" width="7.33203125" style="80" customWidth="1"/>
    <col min="5" max="5" width="7.6640625" style="80" customWidth="1"/>
    <col min="6" max="6" width="7" style="80" customWidth="1"/>
    <col min="7" max="7" width="13.83203125" style="81" customWidth="1"/>
    <col min="8" max="8" width="14.83203125" style="82" hidden="1" customWidth="1"/>
    <col min="9" max="9" width="14.1640625" style="82" customWidth="1"/>
    <col min="10" max="10" width="10.1640625" style="83" customWidth="1"/>
    <col min="11" max="11" width="9.33203125" style="83" customWidth="1"/>
    <col min="12" max="12" width="23.1640625" style="84" hidden="1" customWidth="1"/>
    <col min="13" max="13" width="15.1640625" style="88" customWidth="1"/>
    <col min="14" max="16384" width="9.1640625" style="84"/>
  </cols>
  <sheetData>
    <row r="1" spans="1:13" s="2" customFormat="1" ht="21.75" customHeight="1">
      <c r="A1" s="1" t="s">
        <v>0</v>
      </c>
      <c r="B1" s="1"/>
      <c r="C1" s="1"/>
      <c r="D1" s="1"/>
      <c r="E1" s="1"/>
      <c r="F1" s="1"/>
      <c r="G1" s="1"/>
      <c r="H1" s="1"/>
      <c r="I1" s="1"/>
      <c r="J1" s="1"/>
      <c r="K1" s="1"/>
      <c r="L1" s="1"/>
      <c r="M1" s="1"/>
    </row>
    <row r="2" spans="1:13" s="2" customFormat="1" ht="3" customHeight="1">
      <c r="A2" s="3"/>
      <c r="B2" s="3"/>
      <c r="C2" s="3"/>
      <c r="D2" s="3"/>
      <c r="E2" s="3"/>
      <c r="F2" s="3"/>
      <c r="G2" s="3"/>
      <c r="H2" s="3"/>
      <c r="I2" s="3"/>
      <c r="J2" s="3"/>
      <c r="K2" s="3"/>
      <c r="L2" s="3"/>
      <c r="M2" s="3"/>
    </row>
    <row r="3" spans="1:13" s="2" customFormat="1" ht="4.5" hidden="1" customHeight="1">
      <c r="A3" s="4"/>
      <c r="B3" s="4"/>
      <c r="C3" s="4"/>
      <c r="D3" s="4"/>
      <c r="E3" s="4"/>
      <c r="F3" s="4"/>
      <c r="G3" s="5"/>
      <c r="H3" s="6"/>
      <c r="I3" s="6"/>
      <c r="J3" s="4"/>
      <c r="K3" s="4"/>
      <c r="M3" s="7"/>
    </row>
    <row r="4" spans="1:13" s="11" customFormat="1" ht="18.75" hidden="1" customHeight="1">
      <c r="A4" s="8" t="s">
        <v>1</v>
      </c>
      <c r="B4" s="8"/>
      <c r="C4" s="8"/>
      <c r="D4" s="8"/>
      <c r="E4" s="8"/>
      <c r="F4" s="8"/>
      <c r="G4" s="9">
        <v>22730</v>
      </c>
      <c r="H4" s="10" t="s">
        <v>2</v>
      </c>
      <c r="J4" s="12"/>
      <c r="K4" s="12"/>
      <c r="L4" s="13"/>
      <c r="M4" s="14"/>
    </row>
    <row r="5" spans="1:13" s="4" customFormat="1" ht="43.5" customHeight="1">
      <c r="A5" s="15" t="s">
        <v>3</v>
      </c>
      <c r="B5" s="15" t="s">
        <v>4</v>
      </c>
      <c r="C5" s="15" t="s">
        <v>5</v>
      </c>
      <c r="D5" s="15" t="s">
        <v>6</v>
      </c>
      <c r="E5" s="15" t="s">
        <v>7</v>
      </c>
      <c r="F5" s="15" t="s">
        <v>8</v>
      </c>
      <c r="G5" s="15" t="s">
        <v>9</v>
      </c>
      <c r="H5" s="15"/>
      <c r="I5" s="16" t="s">
        <v>10</v>
      </c>
      <c r="J5" s="16"/>
      <c r="K5" s="16" t="s">
        <v>11</v>
      </c>
      <c r="L5" s="15" t="s">
        <v>12</v>
      </c>
      <c r="M5" s="15" t="s">
        <v>13</v>
      </c>
    </row>
    <row r="6" spans="1:13" s="4" customFormat="1" ht="38.25" customHeight="1">
      <c r="A6" s="15"/>
      <c r="B6" s="15"/>
      <c r="C6" s="15"/>
      <c r="D6" s="15"/>
      <c r="E6" s="15"/>
      <c r="F6" s="15"/>
      <c r="G6" s="17" t="s">
        <v>14</v>
      </c>
      <c r="H6" s="18" t="s">
        <v>15</v>
      </c>
      <c r="I6" s="18" t="s">
        <v>14</v>
      </c>
      <c r="J6" s="19" t="s">
        <v>15</v>
      </c>
      <c r="K6" s="16"/>
      <c r="L6" s="15"/>
      <c r="M6" s="15"/>
    </row>
    <row r="7" spans="1:13" s="26" customFormat="1" ht="55.5" customHeight="1">
      <c r="A7" s="20" t="s">
        <v>16</v>
      </c>
      <c r="B7" s="21" t="s">
        <v>17</v>
      </c>
      <c r="C7" s="22" t="s">
        <v>18</v>
      </c>
      <c r="D7" s="17"/>
      <c r="E7" s="17"/>
      <c r="F7" s="17"/>
      <c r="G7" s="23"/>
      <c r="H7" s="23"/>
      <c r="I7" s="24">
        <f>SUM(I8,I15)</f>
        <v>188450000</v>
      </c>
      <c r="J7" s="24">
        <f>SUM(J8,J15)</f>
        <v>8290.8000000000011</v>
      </c>
      <c r="K7" s="25"/>
      <c r="L7" s="21" t="s">
        <v>19</v>
      </c>
      <c r="M7" s="17"/>
    </row>
    <row r="8" spans="1:13" s="37" customFormat="1" ht="120" customHeight="1">
      <c r="A8" s="27">
        <v>1.1000000000000001</v>
      </c>
      <c r="B8" s="28" t="s">
        <v>20</v>
      </c>
      <c r="C8" s="29" t="s">
        <v>21</v>
      </c>
      <c r="D8" s="30" t="s">
        <v>22</v>
      </c>
      <c r="E8" s="30">
        <v>1</v>
      </c>
      <c r="F8" s="30">
        <v>1</v>
      </c>
      <c r="G8" s="31"/>
      <c r="H8" s="31"/>
      <c r="I8" s="32">
        <f>SUM(I9:I14)</f>
        <v>31550000</v>
      </c>
      <c r="J8" s="33">
        <f>ROUND(I8/22730,2)</f>
        <v>1388.03</v>
      </c>
      <c r="K8" s="34" t="s">
        <v>23</v>
      </c>
      <c r="L8" s="35" t="s">
        <v>24</v>
      </c>
      <c r="M8" s="36" t="s">
        <v>25</v>
      </c>
    </row>
    <row r="9" spans="1:13" s="47" customFormat="1" ht="38.25" hidden="1" customHeight="1">
      <c r="A9" s="38"/>
      <c r="B9" s="39" t="s">
        <v>26</v>
      </c>
      <c r="C9" s="39"/>
      <c r="D9" s="40" t="s">
        <v>27</v>
      </c>
      <c r="E9" s="40">
        <v>1</v>
      </c>
      <c r="F9" s="40">
        <v>1</v>
      </c>
      <c r="G9" s="41">
        <v>8000000</v>
      </c>
      <c r="H9" s="42"/>
      <c r="I9" s="41">
        <f>+E9*F9*G9</f>
        <v>8000000</v>
      </c>
      <c r="J9" s="43"/>
      <c r="K9" s="44"/>
      <c r="L9" s="45"/>
      <c r="M9" s="46" t="s">
        <v>28</v>
      </c>
    </row>
    <row r="10" spans="1:13" s="48" customFormat="1" ht="30.75" hidden="1" customHeight="1">
      <c r="A10" s="20"/>
      <c r="B10" s="39" t="s">
        <v>29</v>
      </c>
      <c r="C10" s="39"/>
      <c r="D10" s="40">
        <v>10</v>
      </c>
      <c r="E10" s="40">
        <v>70</v>
      </c>
      <c r="F10" s="40">
        <v>1</v>
      </c>
      <c r="G10" s="41">
        <v>50000</v>
      </c>
      <c r="H10" s="42"/>
      <c r="I10" s="41">
        <f t="shared" ref="I10:I14" si="0">+E10*F10*G10</f>
        <v>3500000</v>
      </c>
      <c r="J10" s="43"/>
      <c r="K10" s="44"/>
      <c r="L10" s="45"/>
      <c r="M10" s="46"/>
    </row>
    <row r="11" spans="1:13" s="47" customFormat="1" ht="27" hidden="1" customHeight="1">
      <c r="A11" s="38"/>
      <c r="B11" s="39" t="s">
        <v>30</v>
      </c>
      <c r="C11" s="39"/>
      <c r="D11" s="40" t="s">
        <v>31</v>
      </c>
      <c r="E11" s="40">
        <v>70</v>
      </c>
      <c r="F11" s="40"/>
      <c r="G11" s="41">
        <v>50000</v>
      </c>
      <c r="H11" s="42"/>
      <c r="I11" s="41">
        <f>+E11*G11</f>
        <v>3500000</v>
      </c>
      <c r="J11" s="43"/>
      <c r="K11" s="44"/>
      <c r="L11" s="45"/>
      <c r="M11" s="46"/>
    </row>
    <row r="12" spans="1:13" s="48" customFormat="1" ht="30.75" hidden="1" customHeight="1">
      <c r="A12" s="20"/>
      <c r="B12" s="39" t="s">
        <v>32</v>
      </c>
      <c r="C12" s="39"/>
      <c r="D12" s="40" t="s">
        <v>31</v>
      </c>
      <c r="E12" s="40">
        <v>70</v>
      </c>
      <c r="F12" s="40"/>
      <c r="G12" s="41">
        <v>50000</v>
      </c>
      <c r="H12" s="42"/>
      <c r="I12" s="41">
        <f t="shared" ref="I12:I13" si="1">+E12*G12</f>
        <v>3500000</v>
      </c>
      <c r="J12" s="43"/>
      <c r="K12" s="44"/>
      <c r="L12" s="45"/>
      <c r="M12" s="46"/>
    </row>
    <row r="13" spans="1:13" s="47" customFormat="1" ht="31.5" hidden="1" customHeight="1">
      <c r="A13" s="38"/>
      <c r="B13" s="39" t="s">
        <v>33</v>
      </c>
      <c r="C13" s="39"/>
      <c r="D13" s="40" t="s">
        <v>34</v>
      </c>
      <c r="E13" s="40">
        <v>1</v>
      </c>
      <c r="F13" s="40"/>
      <c r="G13" s="41">
        <v>3000000</v>
      </c>
      <c r="H13" s="42"/>
      <c r="I13" s="41">
        <f t="shared" si="1"/>
        <v>3000000</v>
      </c>
      <c r="J13" s="43"/>
      <c r="K13" s="44"/>
      <c r="L13" s="45"/>
      <c r="M13" s="46"/>
    </row>
    <row r="14" spans="1:13" s="47" customFormat="1" ht="36" hidden="1" customHeight="1">
      <c r="A14" s="38"/>
      <c r="B14" s="39" t="s">
        <v>35</v>
      </c>
      <c r="C14" s="39"/>
      <c r="D14" s="40" t="s">
        <v>36</v>
      </c>
      <c r="E14" s="40">
        <v>67</v>
      </c>
      <c r="F14" s="40">
        <v>1</v>
      </c>
      <c r="G14" s="41">
        <v>150000</v>
      </c>
      <c r="H14" s="42"/>
      <c r="I14" s="41">
        <f t="shared" si="0"/>
        <v>10050000</v>
      </c>
      <c r="J14" s="43"/>
      <c r="K14" s="44"/>
      <c r="L14" s="45"/>
      <c r="M14" s="46"/>
    </row>
    <row r="15" spans="1:13" s="37" customFormat="1" ht="159" customHeight="1">
      <c r="A15" s="27">
        <v>1.2</v>
      </c>
      <c r="B15" s="28" t="s">
        <v>37</v>
      </c>
      <c r="C15" s="29" t="s">
        <v>21</v>
      </c>
      <c r="D15" s="30" t="s">
        <v>38</v>
      </c>
      <c r="E15" s="30">
        <v>3</v>
      </c>
      <c r="F15" s="30"/>
      <c r="G15" s="31"/>
      <c r="H15" s="31"/>
      <c r="I15" s="32">
        <f>SUM(I16:I20)</f>
        <v>156900000</v>
      </c>
      <c r="J15" s="33">
        <f>ROUND(I15/22730,2)</f>
        <v>6902.77</v>
      </c>
      <c r="K15" s="34" t="s">
        <v>23</v>
      </c>
      <c r="L15" s="49" t="s">
        <v>39</v>
      </c>
      <c r="M15" s="50"/>
    </row>
    <row r="16" spans="1:13" s="47" customFormat="1" ht="28.5" hidden="1" customHeight="1">
      <c r="A16" s="38"/>
      <c r="B16" s="51" t="s">
        <v>40</v>
      </c>
      <c r="C16" s="51"/>
      <c r="D16" s="40" t="s">
        <v>41</v>
      </c>
      <c r="E16" s="40">
        <v>3</v>
      </c>
      <c r="F16" s="40"/>
      <c r="G16" s="41">
        <v>27000000</v>
      </c>
      <c r="H16" s="42"/>
      <c r="I16" s="41">
        <f>+E16*G16</f>
        <v>81000000</v>
      </c>
      <c r="J16" s="43"/>
      <c r="K16" s="44"/>
      <c r="L16" s="52"/>
      <c r="M16" s="46" t="s">
        <v>42</v>
      </c>
    </row>
    <row r="17" spans="1:13" s="47" customFormat="1" ht="38.25" hidden="1" customHeight="1">
      <c r="A17" s="38"/>
      <c r="B17" s="51" t="s">
        <v>43</v>
      </c>
      <c r="C17" s="51"/>
      <c r="D17" s="40" t="s">
        <v>38</v>
      </c>
      <c r="E17" s="40">
        <v>2</v>
      </c>
      <c r="F17" s="40"/>
      <c r="G17" s="41">
        <v>1000000</v>
      </c>
      <c r="H17" s="42"/>
      <c r="I17" s="41">
        <f>+E17*G17</f>
        <v>2000000</v>
      </c>
      <c r="J17" s="43"/>
      <c r="K17" s="44"/>
      <c r="L17" s="52"/>
      <c r="M17" s="46"/>
    </row>
    <row r="18" spans="1:13" s="48" customFormat="1" ht="37.5" hidden="1" customHeight="1">
      <c r="A18" s="20"/>
      <c r="B18" s="51" t="s">
        <v>44</v>
      </c>
      <c r="C18" s="51"/>
      <c r="D18" s="40" t="s">
        <v>45</v>
      </c>
      <c r="E18" s="40">
        <v>2</v>
      </c>
      <c r="F18" s="40">
        <v>8</v>
      </c>
      <c r="G18" s="41">
        <v>1000000</v>
      </c>
      <c r="H18" s="42"/>
      <c r="I18" s="41">
        <f>+E18*G18*F18</f>
        <v>16000000</v>
      </c>
      <c r="J18" s="43"/>
      <c r="K18" s="44"/>
      <c r="L18" s="52"/>
      <c r="M18" s="46"/>
    </row>
    <row r="19" spans="1:13" s="48" customFormat="1" ht="19.5" hidden="1" customHeight="1">
      <c r="A19" s="20"/>
      <c r="B19" s="53" t="s">
        <v>46</v>
      </c>
      <c r="C19" s="53"/>
      <c r="D19" s="40" t="s">
        <v>36</v>
      </c>
      <c r="E19" s="40">
        <v>3</v>
      </c>
      <c r="F19" s="40">
        <v>9</v>
      </c>
      <c r="G19" s="41">
        <v>1700000</v>
      </c>
      <c r="H19" s="42"/>
      <c r="I19" s="41">
        <f>+E19*F19*G19</f>
        <v>45900000</v>
      </c>
      <c r="J19" s="43"/>
      <c r="K19" s="44"/>
      <c r="L19" s="52"/>
      <c r="M19" s="46"/>
    </row>
    <row r="20" spans="1:13" s="47" customFormat="1" ht="30" hidden="1">
      <c r="A20" s="38"/>
      <c r="B20" s="53" t="s">
        <v>47</v>
      </c>
      <c r="C20" s="53"/>
      <c r="D20" s="40" t="s">
        <v>36</v>
      </c>
      <c r="E20" s="40">
        <v>3</v>
      </c>
      <c r="F20" s="40">
        <v>10</v>
      </c>
      <c r="G20" s="41">
        <v>400000</v>
      </c>
      <c r="H20" s="42"/>
      <c r="I20" s="41">
        <f>+E20*F20*G20</f>
        <v>12000000</v>
      </c>
      <c r="J20" s="43"/>
      <c r="K20" s="44"/>
      <c r="L20" s="52"/>
      <c r="M20" s="46"/>
    </row>
    <row r="21" spans="1:13" s="26" customFormat="1" ht="60">
      <c r="A21" s="20" t="s">
        <v>48</v>
      </c>
      <c r="B21" s="21" t="s">
        <v>49</v>
      </c>
      <c r="C21" s="17" t="s">
        <v>50</v>
      </c>
      <c r="D21" s="17"/>
      <c r="E21" s="17"/>
      <c r="F21" s="17"/>
      <c r="G21" s="42"/>
      <c r="H21" s="42"/>
      <c r="I21" s="24">
        <f>SUM(I22,I28)</f>
        <v>210000000</v>
      </c>
      <c r="J21" s="24">
        <f>SUM(J22,J28)</f>
        <v>9238.89</v>
      </c>
      <c r="K21" s="54"/>
      <c r="L21" s="21" t="s">
        <v>51</v>
      </c>
      <c r="M21" s="17"/>
    </row>
    <row r="22" spans="1:13" s="37" customFormat="1" ht="199.5" customHeight="1">
      <c r="A22" s="55">
        <v>2.1</v>
      </c>
      <c r="B22" s="28" t="s">
        <v>52</v>
      </c>
      <c r="C22" s="29" t="s">
        <v>53</v>
      </c>
      <c r="D22" s="30" t="s">
        <v>38</v>
      </c>
      <c r="E22" s="30">
        <v>3</v>
      </c>
      <c r="F22" s="30"/>
      <c r="G22" s="31"/>
      <c r="H22" s="31"/>
      <c r="I22" s="32">
        <f>SUM(I23:I27)</f>
        <v>156900000</v>
      </c>
      <c r="J22" s="33">
        <f>ROUND(I22/22730,2)</f>
        <v>6902.77</v>
      </c>
      <c r="K22" s="34" t="s">
        <v>23</v>
      </c>
      <c r="L22" s="56" t="s">
        <v>54</v>
      </c>
      <c r="M22" s="36"/>
    </row>
    <row r="23" spans="1:13" s="47" customFormat="1" ht="39" hidden="1" customHeight="1">
      <c r="A23" s="38"/>
      <c r="B23" s="51" t="s">
        <v>40</v>
      </c>
      <c r="C23" s="51"/>
      <c r="D23" s="40" t="s">
        <v>41</v>
      </c>
      <c r="E23" s="40">
        <v>3</v>
      </c>
      <c r="F23" s="40"/>
      <c r="G23" s="41">
        <v>27000000</v>
      </c>
      <c r="H23" s="42"/>
      <c r="I23" s="41">
        <f>+E23*G23</f>
        <v>81000000</v>
      </c>
      <c r="J23" s="43"/>
      <c r="K23" s="44"/>
      <c r="L23" s="52"/>
      <c r="M23" s="46" t="s">
        <v>55</v>
      </c>
    </row>
    <row r="24" spans="1:13" s="47" customFormat="1" ht="53.25" hidden="1" customHeight="1">
      <c r="A24" s="38"/>
      <c r="B24" s="51" t="s">
        <v>43</v>
      </c>
      <c r="C24" s="51"/>
      <c r="D24" s="40" t="s">
        <v>38</v>
      </c>
      <c r="E24" s="40">
        <v>2</v>
      </c>
      <c r="F24" s="40"/>
      <c r="G24" s="41">
        <v>1000000</v>
      </c>
      <c r="H24" s="42"/>
      <c r="I24" s="41">
        <f>+E24*G24</f>
        <v>2000000</v>
      </c>
      <c r="J24" s="43"/>
      <c r="K24" s="44"/>
      <c r="L24" s="52"/>
      <c r="M24" s="46"/>
    </row>
    <row r="25" spans="1:13" s="48" customFormat="1" ht="48.75" hidden="1" customHeight="1">
      <c r="A25" s="20"/>
      <c r="B25" s="51" t="s">
        <v>44</v>
      </c>
      <c r="C25" s="51"/>
      <c r="D25" s="40" t="s">
        <v>45</v>
      </c>
      <c r="E25" s="40">
        <v>2</v>
      </c>
      <c r="F25" s="40">
        <v>8</v>
      </c>
      <c r="G25" s="41">
        <v>1000000</v>
      </c>
      <c r="H25" s="42"/>
      <c r="I25" s="41">
        <f>+E25*G25*F25</f>
        <v>16000000</v>
      </c>
      <c r="J25" s="43"/>
      <c r="K25" s="44"/>
      <c r="L25" s="52"/>
      <c r="M25" s="46"/>
    </row>
    <row r="26" spans="1:13" s="48" customFormat="1" ht="27.75" hidden="1" customHeight="1">
      <c r="A26" s="20"/>
      <c r="B26" s="53" t="s">
        <v>46</v>
      </c>
      <c r="C26" s="53"/>
      <c r="D26" s="40" t="s">
        <v>36</v>
      </c>
      <c r="E26" s="40">
        <v>3</v>
      </c>
      <c r="F26" s="40">
        <v>9</v>
      </c>
      <c r="G26" s="41">
        <v>1700000</v>
      </c>
      <c r="H26" s="42"/>
      <c r="I26" s="41">
        <f>+E26*F26*G26</f>
        <v>45900000</v>
      </c>
      <c r="J26" s="43"/>
      <c r="K26" s="44"/>
      <c r="L26" s="52"/>
      <c r="M26" s="46"/>
    </row>
    <row r="27" spans="1:13" s="47" customFormat="1" ht="30" hidden="1">
      <c r="A27" s="38"/>
      <c r="B27" s="53" t="s">
        <v>47</v>
      </c>
      <c r="C27" s="53"/>
      <c r="D27" s="40" t="s">
        <v>36</v>
      </c>
      <c r="E27" s="40">
        <v>3</v>
      </c>
      <c r="F27" s="40">
        <v>10</v>
      </c>
      <c r="G27" s="41">
        <v>400000</v>
      </c>
      <c r="H27" s="42"/>
      <c r="I27" s="41">
        <f>+E27*F27*G27</f>
        <v>12000000</v>
      </c>
      <c r="J27" s="43"/>
      <c r="K27" s="44"/>
      <c r="L27" s="52"/>
      <c r="M27" s="46"/>
    </row>
    <row r="28" spans="1:13" s="37" customFormat="1" ht="167.25" customHeight="1">
      <c r="A28" s="55">
        <v>2.2000000000000002</v>
      </c>
      <c r="B28" s="28" t="s">
        <v>56</v>
      </c>
      <c r="C28" s="29" t="s">
        <v>57</v>
      </c>
      <c r="D28" s="30" t="s">
        <v>22</v>
      </c>
      <c r="E28" s="30">
        <v>1</v>
      </c>
      <c r="F28" s="30">
        <v>1</v>
      </c>
      <c r="G28" s="31"/>
      <c r="H28" s="31"/>
      <c r="I28" s="32">
        <f>SUM(I29:I34)</f>
        <v>53100000</v>
      </c>
      <c r="J28" s="33">
        <f>ROUND(I28/22730,2)</f>
        <v>2336.12</v>
      </c>
      <c r="K28" s="34" t="s">
        <v>23</v>
      </c>
      <c r="L28" s="56" t="s">
        <v>58</v>
      </c>
      <c r="M28" s="36" t="s">
        <v>25</v>
      </c>
    </row>
    <row r="29" spans="1:13" s="47" customFormat="1" ht="50.25" hidden="1" customHeight="1">
      <c r="A29" s="38"/>
      <c r="B29" s="39" t="s">
        <v>26</v>
      </c>
      <c r="C29" s="39"/>
      <c r="D29" s="40" t="s">
        <v>27</v>
      </c>
      <c r="E29" s="40">
        <v>1</v>
      </c>
      <c r="F29" s="40">
        <v>2</v>
      </c>
      <c r="G29" s="41">
        <v>8000000</v>
      </c>
      <c r="H29" s="42"/>
      <c r="I29" s="41">
        <f>+E29*F29*G29</f>
        <v>16000000</v>
      </c>
      <c r="J29" s="43"/>
      <c r="K29" s="44"/>
      <c r="L29" s="52"/>
      <c r="M29" s="46" t="s">
        <v>59</v>
      </c>
    </row>
    <row r="30" spans="1:13" s="47" customFormat="1" ht="46.5" hidden="1" customHeight="1">
      <c r="A30" s="38"/>
      <c r="B30" s="39" t="s">
        <v>29</v>
      </c>
      <c r="C30" s="39"/>
      <c r="D30" s="40" t="s">
        <v>36</v>
      </c>
      <c r="E30" s="40">
        <v>70</v>
      </c>
      <c r="F30" s="40">
        <v>2</v>
      </c>
      <c r="G30" s="41">
        <v>50000</v>
      </c>
      <c r="H30" s="42"/>
      <c r="I30" s="41">
        <f t="shared" ref="I30:I34" si="2">+E30*F30*G30</f>
        <v>7000000</v>
      </c>
      <c r="J30" s="43"/>
      <c r="K30" s="44"/>
      <c r="L30" s="52"/>
      <c r="M30" s="46"/>
    </row>
    <row r="31" spans="1:13" s="47" customFormat="1" ht="32.25" hidden="1" customHeight="1">
      <c r="A31" s="38"/>
      <c r="B31" s="39" t="s">
        <v>30</v>
      </c>
      <c r="C31" s="39"/>
      <c r="D31" s="40" t="s">
        <v>31</v>
      </c>
      <c r="E31" s="40">
        <v>70</v>
      </c>
      <c r="F31" s="40"/>
      <c r="G31" s="41">
        <v>50000</v>
      </c>
      <c r="H31" s="42"/>
      <c r="I31" s="41">
        <f>+E31*G31</f>
        <v>3500000</v>
      </c>
      <c r="J31" s="43"/>
      <c r="K31" s="44"/>
      <c r="L31" s="52"/>
      <c r="M31" s="46"/>
    </row>
    <row r="32" spans="1:13" s="47" customFormat="1" ht="33.75" hidden="1" customHeight="1">
      <c r="A32" s="38"/>
      <c r="B32" s="39" t="s">
        <v>32</v>
      </c>
      <c r="C32" s="39"/>
      <c r="D32" s="40" t="s">
        <v>31</v>
      </c>
      <c r="E32" s="40">
        <v>70</v>
      </c>
      <c r="F32" s="40"/>
      <c r="G32" s="41">
        <v>50000</v>
      </c>
      <c r="H32" s="42"/>
      <c r="I32" s="41">
        <f t="shared" ref="I32:I33" si="3">+E32*G32</f>
        <v>3500000</v>
      </c>
      <c r="J32" s="43"/>
      <c r="K32" s="44"/>
      <c r="L32" s="52"/>
      <c r="M32" s="46"/>
    </row>
    <row r="33" spans="1:13" s="47" customFormat="1" ht="34.5" hidden="1" customHeight="1">
      <c r="A33" s="38"/>
      <c r="B33" s="39" t="s">
        <v>33</v>
      </c>
      <c r="C33" s="39"/>
      <c r="D33" s="40" t="s">
        <v>34</v>
      </c>
      <c r="E33" s="40">
        <v>1</v>
      </c>
      <c r="F33" s="40"/>
      <c r="G33" s="41">
        <v>3000000</v>
      </c>
      <c r="H33" s="42"/>
      <c r="I33" s="41">
        <f t="shared" si="3"/>
        <v>3000000</v>
      </c>
      <c r="J33" s="43"/>
      <c r="K33" s="44"/>
      <c r="L33" s="52"/>
      <c r="M33" s="46"/>
    </row>
    <row r="34" spans="1:13" s="47" customFormat="1" ht="48.75" hidden="1" customHeight="1">
      <c r="A34" s="38"/>
      <c r="B34" s="39" t="s">
        <v>35</v>
      </c>
      <c r="C34" s="39"/>
      <c r="D34" s="40" t="s">
        <v>36</v>
      </c>
      <c r="E34" s="40">
        <v>67</v>
      </c>
      <c r="F34" s="40">
        <v>2</v>
      </c>
      <c r="G34" s="41">
        <v>150000</v>
      </c>
      <c r="H34" s="42"/>
      <c r="I34" s="41">
        <f t="shared" si="2"/>
        <v>20100000</v>
      </c>
      <c r="J34" s="43"/>
      <c r="K34" s="44"/>
      <c r="L34" s="52"/>
      <c r="M34" s="46"/>
    </row>
    <row r="35" spans="1:13" s="26" customFormat="1" ht="87" customHeight="1">
      <c r="A35" s="20" t="s">
        <v>60</v>
      </c>
      <c r="B35" s="21" t="s">
        <v>61</v>
      </c>
      <c r="C35" s="17" t="s">
        <v>50</v>
      </c>
      <c r="D35" s="17"/>
      <c r="E35" s="17"/>
      <c r="F35" s="17"/>
      <c r="G35" s="42"/>
      <c r="H35" s="42"/>
      <c r="I35" s="23"/>
      <c r="J35" s="43"/>
      <c r="K35" s="54"/>
      <c r="L35" s="21" t="s">
        <v>62</v>
      </c>
      <c r="M35" s="17"/>
    </row>
    <row r="36" spans="1:13" s="26" customFormat="1" ht="60.75" customHeight="1">
      <c r="A36" s="20" t="s">
        <v>63</v>
      </c>
      <c r="B36" s="21" t="s">
        <v>64</v>
      </c>
      <c r="C36" s="57" t="s">
        <v>65</v>
      </c>
      <c r="D36" s="17"/>
      <c r="E36" s="17"/>
      <c r="F36" s="17"/>
      <c r="G36" s="42"/>
      <c r="H36" s="42"/>
      <c r="I36" s="24">
        <f>SUM(I37,I43)</f>
        <v>210000000</v>
      </c>
      <c r="J36" s="24">
        <f>SUM(J37,J43)</f>
        <v>9238.89</v>
      </c>
      <c r="K36" s="58"/>
      <c r="L36" s="21" t="s">
        <v>66</v>
      </c>
      <c r="M36" s="17"/>
    </row>
    <row r="37" spans="1:13" s="37" customFormat="1" ht="115.5" customHeight="1">
      <c r="A37" s="55">
        <v>4.0999999999999996</v>
      </c>
      <c r="B37" s="28" t="s">
        <v>67</v>
      </c>
      <c r="C37" s="29" t="s">
        <v>68</v>
      </c>
      <c r="D37" s="30" t="s">
        <v>38</v>
      </c>
      <c r="E37" s="30">
        <v>3</v>
      </c>
      <c r="F37" s="30"/>
      <c r="G37" s="31"/>
      <c r="H37" s="31"/>
      <c r="I37" s="32">
        <f>SUM(I38:I42)</f>
        <v>156900000</v>
      </c>
      <c r="J37" s="33">
        <f>ROUND(I37/22730,2)</f>
        <v>6902.77</v>
      </c>
      <c r="K37" s="34" t="s">
        <v>23</v>
      </c>
      <c r="L37" s="56" t="s">
        <v>69</v>
      </c>
      <c r="M37" s="36"/>
    </row>
    <row r="38" spans="1:13" s="47" customFormat="1" ht="35.25" hidden="1" customHeight="1">
      <c r="A38" s="38"/>
      <c r="B38" s="51" t="s">
        <v>40</v>
      </c>
      <c r="C38" s="51"/>
      <c r="D38" s="40" t="s">
        <v>41</v>
      </c>
      <c r="E38" s="40">
        <v>3</v>
      </c>
      <c r="F38" s="40"/>
      <c r="G38" s="41">
        <v>27000000</v>
      </c>
      <c r="H38" s="42"/>
      <c r="I38" s="41">
        <f>+E38*G38</f>
        <v>81000000</v>
      </c>
      <c r="J38" s="43"/>
      <c r="K38" s="44"/>
      <c r="L38" s="52"/>
      <c r="M38" s="46" t="s">
        <v>55</v>
      </c>
    </row>
    <row r="39" spans="1:13" s="47" customFormat="1" ht="52.5" hidden="1" customHeight="1">
      <c r="A39" s="38"/>
      <c r="B39" s="51" t="s">
        <v>43</v>
      </c>
      <c r="C39" s="51"/>
      <c r="D39" s="40" t="s">
        <v>38</v>
      </c>
      <c r="E39" s="40">
        <v>2</v>
      </c>
      <c r="F39" s="40"/>
      <c r="G39" s="41">
        <v>1000000</v>
      </c>
      <c r="H39" s="42"/>
      <c r="I39" s="41">
        <f>+E39*G39</f>
        <v>2000000</v>
      </c>
      <c r="J39" s="43"/>
      <c r="K39" s="44"/>
      <c r="L39" s="52"/>
      <c r="M39" s="46"/>
    </row>
    <row r="40" spans="1:13" s="48" customFormat="1" ht="30" hidden="1">
      <c r="A40" s="20"/>
      <c r="B40" s="51" t="s">
        <v>44</v>
      </c>
      <c r="C40" s="51"/>
      <c r="D40" s="40" t="s">
        <v>45</v>
      </c>
      <c r="E40" s="40">
        <v>2</v>
      </c>
      <c r="F40" s="40">
        <v>8</v>
      </c>
      <c r="G40" s="41">
        <v>1000000</v>
      </c>
      <c r="H40" s="42"/>
      <c r="I40" s="41">
        <f>+E40*G40*F40</f>
        <v>16000000</v>
      </c>
      <c r="J40" s="43"/>
      <c r="K40" s="44"/>
      <c r="L40" s="52"/>
      <c r="M40" s="46"/>
    </row>
    <row r="41" spans="1:13" s="48" customFormat="1" ht="30" hidden="1">
      <c r="A41" s="20"/>
      <c r="B41" s="53" t="s">
        <v>46</v>
      </c>
      <c r="C41" s="53"/>
      <c r="D41" s="40" t="s">
        <v>36</v>
      </c>
      <c r="E41" s="40">
        <v>3</v>
      </c>
      <c r="F41" s="40">
        <v>9</v>
      </c>
      <c r="G41" s="41">
        <v>1700000</v>
      </c>
      <c r="H41" s="42"/>
      <c r="I41" s="41">
        <f>+E41*F41*G41</f>
        <v>45900000</v>
      </c>
      <c r="J41" s="43"/>
      <c r="K41" s="44"/>
      <c r="L41" s="52"/>
      <c r="M41" s="46"/>
    </row>
    <row r="42" spans="1:13" s="47" customFormat="1" ht="30" hidden="1">
      <c r="A42" s="38"/>
      <c r="B42" s="53" t="s">
        <v>47</v>
      </c>
      <c r="C42" s="53"/>
      <c r="D42" s="40" t="s">
        <v>36</v>
      </c>
      <c r="E42" s="40">
        <v>3</v>
      </c>
      <c r="F42" s="40">
        <v>10</v>
      </c>
      <c r="G42" s="41">
        <v>400000</v>
      </c>
      <c r="H42" s="42"/>
      <c r="I42" s="41">
        <f>+E42*F42*G42</f>
        <v>12000000</v>
      </c>
      <c r="J42" s="43"/>
      <c r="K42" s="44"/>
      <c r="L42" s="52"/>
      <c r="M42" s="46"/>
    </row>
    <row r="43" spans="1:13" s="37" customFormat="1" ht="148.5" customHeight="1">
      <c r="A43" s="55">
        <v>4.2</v>
      </c>
      <c r="B43" s="28" t="s">
        <v>70</v>
      </c>
      <c r="C43" s="29" t="s">
        <v>71</v>
      </c>
      <c r="D43" s="30" t="s">
        <v>22</v>
      </c>
      <c r="E43" s="30">
        <v>1</v>
      </c>
      <c r="F43" s="30">
        <v>2</v>
      </c>
      <c r="G43" s="31"/>
      <c r="H43" s="31"/>
      <c r="I43" s="32">
        <f>SUM(I44:I49)</f>
        <v>53100000</v>
      </c>
      <c r="J43" s="33">
        <f>ROUND(I43/22730,2)</f>
        <v>2336.12</v>
      </c>
      <c r="K43" s="34" t="s">
        <v>23</v>
      </c>
      <c r="L43" s="56" t="s">
        <v>72</v>
      </c>
      <c r="M43" s="36" t="s">
        <v>25</v>
      </c>
    </row>
    <row r="44" spans="1:13" s="47" customFormat="1" ht="30" hidden="1">
      <c r="A44" s="38"/>
      <c r="B44" s="39" t="s">
        <v>26</v>
      </c>
      <c r="C44" s="39"/>
      <c r="D44" s="40" t="s">
        <v>27</v>
      </c>
      <c r="E44" s="40">
        <v>1</v>
      </c>
      <c r="F44" s="40">
        <v>2</v>
      </c>
      <c r="G44" s="41">
        <v>8000000</v>
      </c>
      <c r="H44" s="42"/>
      <c r="I44" s="41">
        <f>+E44*F44*G44</f>
        <v>16000000</v>
      </c>
      <c r="J44" s="43"/>
      <c r="K44" s="44"/>
      <c r="L44" s="52"/>
      <c r="M44" s="46" t="s">
        <v>59</v>
      </c>
    </row>
    <row r="45" spans="1:13" s="47" customFormat="1" ht="30" hidden="1">
      <c r="A45" s="38"/>
      <c r="B45" s="39" t="s">
        <v>29</v>
      </c>
      <c r="C45" s="39"/>
      <c r="D45" s="40" t="s">
        <v>36</v>
      </c>
      <c r="E45" s="40">
        <v>70</v>
      </c>
      <c r="F45" s="40">
        <v>2</v>
      </c>
      <c r="G45" s="41">
        <v>50000</v>
      </c>
      <c r="H45" s="42"/>
      <c r="I45" s="41">
        <f t="shared" ref="I45" si="4">+E45*F45*G45</f>
        <v>7000000</v>
      </c>
      <c r="J45" s="43"/>
      <c r="K45" s="44"/>
      <c r="L45" s="52"/>
      <c r="M45" s="46"/>
    </row>
    <row r="46" spans="1:13" s="47" customFormat="1" hidden="1">
      <c r="A46" s="38"/>
      <c r="B46" s="39" t="s">
        <v>30</v>
      </c>
      <c r="C46" s="39"/>
      <c r="D46" s="40" t="s">
        <v>31</v>
      </c>
      <c r="E46" s="40">
        <v>70</v>
      </c>
      <c r="F46" s="40"/>
      <c r="G46" s="41">
        <v>50000</v>
      </c>
      <c r="H46" s="42"/>
      <c r="I46" s="41">
        <f>+E46*G46</f>
        <v>3500000</v>
      </c>
      <c r="J46" s="43"/>
      <c r="K46" s="44"/>
      <c r="L46" s="52"/>
      <c r="M46" s="46"/>
    </row>
    <row r="47" spans="1:13" s="47" customFormat="1" hidden="1">
      <c r="A47" s="38"/>
      <c r="B47" s="39" t="s">
        <v>32</v>
      </c>
      <c r="C47" s="39"/>
      <c r="D47" s="40" t="s">
        <v>31</v>
      </c>
      <c r="E47" s="40">
        <v>70</v>
      </c>
      <c r="F47" s="40"/>
      <c r="G47" s="41">
        <v>50000</v>
      </c>
      <c r="H47" s="42"/>
      <c r="I47" s="41">
        <f t="shared" ref="I47:I48" si="5">+E47*G47</f>
        <v>3500000</v>
      </c>
      <c r="J47" s="43"/>
      <c r="K47" s="44"/>
      <c r="L47" s="52"/>
      <c r="M47" s="46"/>
    </row>
    <row r="48" spans="1:13" s="47" customFormat="1" ht="30" hidden="1">
      <c r="A48" s="38"/>
      <c r="B48" s="39" t="s">
        <v>33</v>
      </c>
      <c r="C48" s="39"/>
      <c r="D48" s="40" t="s">
        <v>34</v>
      </c>
      <c r="E48" s="40">
        <v>1</v>
      </c>
      <c r="F48" s="40"/>
      <c r="G48" s="41">
        <v>3000000</v>
      </c>
      <c r="H48" s="42"/>
      <c r="I48" s="41">
        <f t="shared" si="5"/>
        <v>3000000</v>
      </c>
      <c r="J48" s="43"/>
      <c r="K48" s="44"/>
      <c r="L48" s="52"/>
      <c r="M48" s="46"/>
    </row>
    <row r="49" spans="1:13" s="47" customFormat="1" ht="30" hidden="1">
      <c r="A49" s="38"/>
      <c r="B49" s="39" t="s">
        <v>73</v>
      </c>
      <c r="C49" s="39"/>
      <c r="D49" s="40" t="s">
        <v>36</v>
      </c>
      <c r="E49" s="40">
        <v>67</v>
      </c>
      <c r="F49" s="40">
        <v>2</v>
      </c>
      <c r="G49" s="41">
        <v>150000</v>
      </c>
      <c r="H49" s="42"/>
      <c r="I49" s="41">
        <f t="shared" ref="I49" si="6">+E49*F49*G49</f>
        <v>20100000</v>
      </c>
      <c r="J49" s="43"/>
      <c r="K49" s="44"/>
      <c r="L49" s="52"/>
      <c r="M49" s="46"/>
    </row>
    <row r="50" spans="1:13" s="26" customFormat="1" ht="57.75" customHeight="1">
      <c r="A50" s="20" t="s">
        <v>74</v>
      </c>
      <c r="B50" s="21" t="s">
        <v>75</v>
      </c>
      <c r="C50" s="17" t="s">
        <v>76</v>
      </c>
      <c r="D50" s="17"/>
      <c r="E50" s="17"/>
      <c r="F50" s="17"/>
      <c r="G50" s="42"/>
      <c r="H50" s="42"/>
      <c r="I50" s="24"/>
      <c r="J50" s="43"/>
      <c r="K50" s="54"/>
      <c r="L50" s="21" t="s">
        <v>77</v>
      </c>
      <c r="M50" s="17"/>
    </row>
    <row r="51" spans="1:13" s="26" customFormat="1" ht="40.5" customHeight="1">
      <c r="A51" s="20" t="s">
        <v>78</v>
      </c>
      <c r="B51" s="21" t="s">
        <v>79</v>
      </c>
      <c r="C51" s="17" t="s">
        <v>80</v>
      </c>
      <c r="D51" s="17"/>
      <c r="E51" s="17"/>
      <c r="F51" s="17"/>
      <c r="G51" s="42"/>
      <c r="H51" s="42"/>
      <c r="I51" s="23"/>
      <c r="J51" s="43"/>
      <c r="K51" s="54"/>
      <c r="L51" s="21" t="s">
        <v>81</v>
      </c>
      <c r="M51" s="17"/>
    </row>
    <row r="52" spans="1:13" s="26" customFormat="1" ht="47.25" customHeight="1">
      <c r="A52" s="20" t="s">
        <v>82</v>
      </c>
      <c r="B52" s="21" t="s">
        <v>83</v>
      </c>
      <c r="C52" s="17" t="s">
        <v>84</v>
      </c>
      <c r="D52" s="17"/>
      <c r="E52" s="17"/>
      <c r="F52" s="17"/>
      <c r="G52" s="42"/>
      <c r="H52" s="42"/>
      <c r="I52" s="24">
        <f>SUM(I53,I65,I74,I81)</f>
        <v>2003607002.8000002</v>
      </c>
      <c r="J52" s="24">
        <f>SUM(J53,J65,J74,J81)</f>
        <v>88148.128710954697</v>
      </c>
      <c r="K52" s="23"/>
      <c r="L52" s="21" t="s">
        <v>85</v>
      </c>
      <c r="M52" s="17"/>
    </row>
    <row r="53" spans="1:13" s="37" customFormat="1" ht="90.75" customHeight="1">
      <c r="A53" s="55">
        <v>7.1</v>
      </c>
      <c r="B53" s="28" t="s">
        <v>86</v>
      </c>
      <c r="C53" s="29" t="s">
        <v>87</v>
      </c>
      <c r="D53" s="30" t="s">
        <v>38</v>
      </c>
      <c r="E53" s="30">
        <v>4</v>
      </c>
      <c r="F53" s="30"/>
      <c r="G53" s="31"/>
      <c r="H53" s="31"/>
      <c r="I53" s="32">
        <f>SUM(I54:I64)</f>
        <v>1419756002.8000002</v>
      </c>
      <c r="J53" s="32">
        <f>SUM(J54:J64)</f>
        <v>62461.768710954697</v>
      </c>
      <c r="K53" s="34" t="s">
        <v>23</v>
      </c>
      <c r="L53" s="56" t="s">
        <v>88</v>
      </c>
      <c r="M53" s="36"/>
    </row>
    <row r="54" spans="1:13" s="47" customFormat="1" ht="36.75" hidden="1" customHeight="1">
      <c r="A54" s="38"/>
      <c r="B54" s="59" t="s">
        <v>89</v>
      </c>
      <c r="C54" s="59"/>
      <c r="D54" s="60" t="s">
        <v>90</v>
      </c>
      <c r="E54" s="60">
        <v>4</v>
      </c>
      <c r="F54" s="60"/>
      <c r="G54" s="41">
        <v>27000000</v>
      </c>
      <c r="H54" s="41">
        <f>G54/$G$4</f>
        <v>1187.8574571051474</v>
      </c>
      <c r="I54" s="41">
        <f>G54*E54</f>
        <v>108000000</v>
      </c>
      <c r="J54" s="43">
        <f>H54*E54</f>
        <v>4751.4298284205897</v>
      </c>
      <c r="K54" s="61"/>
      <c r="L54" s="62"/>
      <c r="M54" s="46" t="s">
        <v>91</v>
      </c>
    </row>
    <row r="55" spans="1:13" s="47" customFormat="1" ht="40.5" hidden="1" customHeight="1">
      <c r="A55" s="38"/>
      <c r="B55" s="59" t="s">
        <v>92</v>
      </c>
      <c r="C55" s="59"/>
      <c r="D55" s="60" t="s">
        <v>93</v>
      </c>
      <c r="E55" s="60">
        <v>4</v>
      </c>
      <c r="F55" s="60"/>
      <c r="G55" s="41">
        <v>1000000</v>
      </c>
      <c r="H55" s="41">
        <f>G55/$G$4</f>
        <v>43.994720633523976</v>
      </c>
      <c r="I55" s="41">
        <f t="shared" ref="I55:I59" si="7">G55*E55</f>
        <v>4000000</v>
      </c>
      <c r="J55" s="43">
        <f t="shared" ref="J55:J58" si="8">H55*E55</f>
        <v>175.9788825340959</v>
      </c>
      <c r="K55" s="61"/>
      <c r="L55" s="62"/>
      <c r="M55" s="46"/>
    </row>
    <row r="56" spans="1:13" s="47" customFormat="1" ht="46.5" hidden="1" customHeight="1">
      <c r="A56" s="38"/>
      <c r="B56" s="59" t="s">
        <v>94</v>
      </c>
      <c r="C56" s="59"/>
      <c r="D56" s="60" t="s">
        <v>38</v>
      </c>
      <c r="E56" s="60">
        <v>4</v>
      </c>
      <c r="F56" s="60"/>
      <c r="G56" s="41">
        <f>H56*$G$4</f>
        <v>2273000</v>
      </c>
      <c r="H56" s="41">
        <v>100</v>
      </c>
      <c r="I56" s="41">
        <f t="shared" si="7"/>
        <v>9092000</v>
      </c>
      <c r="J56" s="43">
        <f t="shared" si="8"/>
        <v>400</v>
      </c>
      <c r="K56" s="61"/>
      <c r="L56" s="62"/>
      <c r="M56" s="46"/>
    </row>
    <row r="57" spans="1:13" s="47" customFormat="1" ht="42.75" hidden="1" customHeight="1">
      <c r="A57" s="38"/>
      <c r="B57" s="59" t="s">
        <v>95</v>
      </c>
      <c r="C57" s="59"/>
      <c r="D57" s="60" t="s">
        <v>38</v>
      </c>
      <c r="E57" s="60">
        <v>1</v>
      </c>
      <c r="F57" s="60"/>
      <c r="G57" s="41">
        <f>H57*$G$4</f>
        <v>1818400</v>
      </c>
      <c r="H57" s="41">
        <v>80</v>
      </c>
      <c r="I57" s="41">
        <f t="shared" si="7"/>
        <v>1818400</v>
      </c>
      <c r="J57" s="43">
        <f t="shared" si="8"/>
        <v>80</v>
      </c>
      <c r="K57" s="61"/>
      <c r="L57" s="62"/>
      <c r="M57" s="46"/>
    </row>
    <row r="58" spans="1:13" s="47" customFormat="1" ht="21.75" hidden="1" customHeight="1">
      <c r="A58" s="38"/>
      <c r="B58" s="59" t="s">
        <v>96</v>
      </c>
      <c r="C58" s="59"/>
      <c r="D58" s="60" t="s">
        <v>38</v>
      </c>
      <c r="E58" s="60">
        <v>4</v>
      </c>
      <c r="F58" s="60"/>
      <c r="G58" s="41">
        <f t="shared" ref="G58:G64" si="9">H58*$G$4</f>
        <v>1136500</v>
      </c>
      <c r="H58" s="41">
        <v>50</v>
      </c>
      <c r="I58" s="41">
        <f t="shared" si="7"/>
        <v>4546000</v>
      </c>
      <c r="J58" s="43">
        <f t="shared" si="8"/>
        <v>200</v>
      </c>
      <c r="K58" s="61"/>
      <c r="L58" s="62"/>
      <c r="M58" s="46"/>
    </row>
    <row r="59" spans="1:13" s="47" customFormat="1" ht="24.75" hidden="1" customHeight="1">
      <c r="A59" s="38"/>
      <c r="B59" s="59" t="s">
        <v>97</v>
      </c>
      <c r="C59" s="59"/>
      <c r="D59" s="60" t="s">
        <v>38</v>
      </c>
      <c r="E59" s="60">
        <v>4</v>
      </c>
      <c r="F59" s="60"/>
      <c r="G59" s="41">
        <f t="shared" si="9"/>
        <v>5000600</v>
      </c>
      <c r="H59" s="41">
        <v>220</v>
      </c>
      <c r="I59" s="41">
        <f t="shared" si="7"/>
        <v>20002400</v>
      </c>
      <c r="J59" s="43">
        <f>H59*E59</f>
        <v>880</v>
      </c>
      <c r="K59" s="61"/>
      <c r="L59" s="62"/>
      <c r="M59" s="46"/>
    </row>
    <row r="60" spans="1:13" s="47" customFormat="1" ht="21.75" hidden="1" customHeight="1">
      <c r="A60" s="38"/>
      <c r="B60" s="63" t="s">
        <v>98</v>
      </c>
      <c r="C60" s="63"/>
      <c r="D60" s="64" t="s">
        <v>38</v>
      </c>
      <c r="E60" s="64">
        <v>4</v>
      </c>
      <c r="F60" s="64">
        <v>30</v>
      </c>
      <c r="G60" s="41">
        <f t="shared" si="9"/>
        <v>1704750</v>
      </c>
      <c r="H60" s="65">
        <v>75</v>
      </c>
      <c r="I60" s="41">
        <f>E60*F60*G60</f>
        <v>204570000</v>
      </c>
      <c r="J60" s="43">
        <f>H60*E60*F60</f>
        <v>9000</v>
      </c>
      <c r="K60" s="61"/>
      <c r="L60" s="62"/>
      <c r="M60" s="46"/>
    </row>
    <row r="61" spans="1:13" s="47" customFormat="1" ht="38.25" hidden="1" customHeight="1">
      <c r="A61" s="38"/>
      <c r="B61" s="59" t="s">
        <v>99</v>
      </c>
      <c r="C61" s="59"/>
      <c r="D61" s="64" t="s">
        <v>38</v>
      </c>
      <c r="E61" s="64">
        <v>4</v>
      </c>
      <c r="F61" s="64">
        <v>76</v>
      </c>
      <c r="G61" s="41">
        <f t="shared" si="9"/>
        <v>1136500.0000000005</v>
      </c>
      <c r="H61" s="65">
        <f>+(0.666666666666667)*75</f>
        <v>50.000000000000021</v>
      </c>
      <c r="I61" s="41">
        <f t="shared" ref="I61:I63" si="10">E61*F61*G61</f>
        <v>345496000.00000012</v>
      </c>
      <c r="J61" s="43">
        <f t="shared" ref="J61:J63" si="11">H61*E61*F61</f>
        <v>15200.000000000007</v>
      </c>
      <c r="K61" s="61"/>
      <c r="L61" s="62"/>
      <c r="M61" s="46"/>
    </row>
    <row r="62" spans="1:13" s="47" customFormat="1" ht="25.5" hidden="1" customHeight="1">
      <c r="A62" s="38"/>
      <c r="B62" s="63" t="s">
        <v>100</v>
      </c>
      <c r="C62" s="63"/>
      <c r="D62" s="64" t="s">
        <v>38</v>
      </c>
      <c r="E62" s="64">
        <v>4</v>
      </c>
      <c r="F62" s="64">
        <v>30</v>
      </c>
      <c r="G62" s="41">
        <f t="shared" si="9"/>
        <v>1591100</v>
      </c>
      <c r="H62" s="65">
        <v>70</v>
      </c>
      <c r="I62" s="41">
        <f t="shared" si="10"/>
        <v>190932000</v>
      </c>
      <c r="J62" s="43">
        <f t="shared" si="11"/>
        <v>8400</v>
      </c>
      <c r="K62" s="61"/>
      <c r="L62" s="62"/>
      <c r="M62" s="46"/>
    </row>
    <row r="63" spans="1:13" s="47" customFormat="1" ht="34.5" hidden="1" customHeight="1">
      <c r="A63" s="38"/>
      <c r="B63" s="59" t="s">
        <v>101</v>
      </c>
      <c r="C63" s="59"/>
      <c r="D63" s="64" t="s">
        <v>38</v>
      </c>
      <c r="E63" s="64">
        <v>4</v>
      </c>
      <c r="F63" s="64">
        <v>77</v>
      </c>
      <c r="G63" s="41">
        <f t="shared" si="9"/>
        <v>1060809.1000000001</v>
      </c>
      <c r="H63" s="66">
        <f>ROUND((0.666666666666667)*70,2)</f>
        <v>46.67</v>
      </c>
      <c r="I63" s="41">
        <f t="shared" si="10"/>
        <v>326729202.80000001</v>
      </c>
      <c r="J63" s="43">
        <f t="shared" si="11"/>
        <v>14374.36</v>
      </c>
      <c r="K63" s="61"/>
      <c r="L63" s="62"/>
      <c r="M63" s="46"/>
    </row>
    <row r="64" spans="1:13" s="47" customFormat="1" ht="155" hidden="1" customHeight="1">
      <c r="A64" s="38"/>
      <c r="B64" s="59" t="s">
        <v>102</v>
      </c>
      <c r="C64" s="59"/>
      <c r="D64" s="60" t="s">
        <v>103</v>
      </c>
      <c r="E64" s="64">
        <v>1</v>
      </c>
      <c r="F64" s="64"/>
      <c r="G64" s="41">
        <f t="shared" si="9"/>
        <v>204570000</v>
      </c>
      <c r="H64" s="65">
        <v>9000</v>
      </c>
      <c r="I64" s="41">
        <f t="shared" ref="I64" si="12">G64*E64</f>
        <v>204570000</v>
      </c>
      <c r="J64" s="43">
        <f>H64*E64</f>
        <v>9000</v>
      </c>
      <c r="K64" s="44"/>
      <c r="L64" s="62"/>
      <c r="M64" s="67" t="s">
        <v>104</v>
      </c>
    </row>
    <row r="65" spans="1:13" s="37" customFormat="1" ht="112" customHeight="1">
      <c r="A65" s="55">
        <v>7.2</v>
      </c>
      <c r="B65" s="49" t="s">
        <v>105</v>
      </c>
      <c r="C65" s="29" t="s">
        <v>106</v>
      </c>
      <c r="D65" s="30" t="s">
        <v>38</v>
      </c>
      <c r="E65" s="30">
        <v>3</v>
      </c>
      <c r="F65" s="30"/>
      <c r="G65" s="68"/>
      <c r="H65" s="31"/>
      <c r="I65" s="32">
        <f>SUM(I66:I73)</f>
        <v>395401000</v>
      </c>
      <c r="J65" s="32">
        <f>ROUND((I65/G4),2)</f>
        <v>17395.560000000001</v>
      </c>
      <c r="K65" s="34" t="s">
        <v>23</v>
      </c>
      <c r="L65" s="56" t="s">
        <v>107</v>
      </c>
      <c r="M65" s="69" t="s">
        <v>108</v>
      </c>
    </row>
    <row r="66" spans="1:13" s="47" customFormat="1" ht="40.5" hidden="1" customHeight="1">
      <c r="A66" s="38"/>
      <c r="B66" s="59" t="s">
        <v>89</v>
      </c>
      <c r="C66" s="59"/>
      <c r="D66" s="60" t="s">
        <v>90</v>
      </c>
      <c r="E66" s="60">
        <v>3</v>
      </c>
      <c r="F66" s="60"/>
      <c r="G66" s="41">
        <v>27000000</v>
      </c>
      <c r="H66" s="41">
        <f>G66/$G$4</f>
        <v>1187.8574571051474</v>
      </c>
      <c r="I66" s="41">
        <f>G66*E66</f>
        <v>81000000</v>
      </c>
      <c r="J66" s="43"/>
      <c r="K66" s="61"/>
      <c r="L66" s="70"/>
      <c r="M66" s="46" t="s">
        <v>91</v>
      </c>
    </row>
    <row r="67" spans="1:13" s="47" customFormat="1" ht="30" hidden="1">
      <c r="A67" s="38"/>
      <c r="B67" s="59" t="s">
        <v>92</v>
      </c>
      <c r="C67" s="59"/>
      <c r="D67" s="60" t="s">
        <v>93</v>
      </c>
      <c r="E67" s="60">
        <v>3</v>
      </c>
      <c r="F67" s="60"/>
      <c r="G67" s="41">
        <v>1000000</v>
      </c>
      <c r="H67" s="41">
        <f>G67/$G$4</f>
        <v>43.994720633523976</v>
      </c>
      <c r="I67" s="41">
        <f t="shared" ref="I67:I71" si="13">G67*E67</f>
        <v>3000000</v>
      </c>
      <c r="J67" s="43"/>
      <c r="K67" s="61"/>
      <c r="L67" s="70"/>
      <c r="M67" s="46"/>
    </row>
    <row r="68" spans="1:13" s="47" customFormat="1" ht="30" hidden="1">
      <c r="A68" s="38"/>
      <c r="B68" s="59" t="s">
        <v>94</v>
      </c>
      <c r="C68" s="59"/>
      <c r="D68" s="60" t="s">
        <v>38</v>
      </c>
      <c r="E68" s="60">
        <v>3</v>
      </c>
      <c r="F68" s="60"/>
      <c r="G68" s="41">
        <f t="shared" ref="G68:G73" si="14">H68*$G$4</f>
        <v>2273000</v>
      </c>
      <c r="H68" s="41">
        <v>100</v>
      </c>
      <c r="I68" s="41">
        <f t="shared" si="13"/>
        <v>6819000</v>
      </c>
      <c r="J68" s="43"/>
      <c r="K68" s="61"/>
      <c r="L68" s="70"/>
      <c r="M68" s="46"/>
    </row>
    <row r="69" spans="1:13" s="47" customFormat="1" hidden="1">
      <c r="A69" s="38"/>
      <c r="B69" s="59" t="s">
        <v>95</v>
      </c>
      <c r="C69" s="59"/>
      <c r="D69" s="60" t="s">
        <v>38</v>
      </c>
      <c r="E69" s="60">
        <v>1</v>
      </c>
      <c r="F69" s="60"/>
      <c r="G69" s="41">
        <f t="shared" si="14"/>
        <v>1818400</v>
      </c>
      <c r="H69" s="41">
        <v>80</v>
      </c>
      <c r="I69" s="41">
        <f t="shared" si="13"/>
        <v>1818400</v>
      </c>
      <c r="J69" s="43"/>
      <c r="K69" s="61"/>
      <c r="L69" s="70"/>
      <c r="M69" s="46"/>
    </row>
    <row r="70" spans="1:13" s="47" customFormat="1" hidden="1">
      <c r="A70" s="38"/>
      <c r="B70" s="59" t="s">
        <v>96</v>
      </c>
      <c r="C70" s="59"/>
      <c r="D70" s="60" t="s">
        <v>38</v>
      </c>
      <c r="E70" s="60">
        <v>3</v>
      </c>
      <c r="F70" s="60"/>
      <c r="G70" s="41">
        <f t="shared" si="14"/>
        <v>681900</v>
      </c>
      <c r="H70" s="41">
        <v>30</v>
      </c>
      <c r="I70" s="41">
        <f t="shared" si="13"/>
        <v>2045700</v>
      </c>
      <c r="J70" s="43"/>
      <c r="K70" s="61"/>
      <c r="L70" s="70"/>
      <c r="M70" s="46"/>
    </row>
    <row r="71" spans="1:13" s="47" customFormat="1" hidden="1">
      <c r="A71" s="38"/>
      <c r="B71" s="59" t="s">
        <v>97</v>
      </c>
      <c r="C71" s="59"/>
      <c r="D71" s="60" t="s">
        <v>38</v>
      </c>
      <c r="E71" s="60">
        <v>3</v>
      </c>
      <c r="F71" s="60"/>
      <c r="G71" s="41">
        <v>3068550</v>
      </c>
      <c r="H71" s="41">
        <v>220</v>
      </c>
      <c r="I71" s="41">
        <f t="shared" si="13"/>
        <v>9205650</v>
      </c>
      <c r="J71" s="43"/>
      <c r="K71" s="61"/>
      <c r="L71" s="70"/>
      <c r="M71" s="46"/>
    </row>
    <row r="72" spans="1:13" s="47" customFormat="1" hidden="1">
      <c r="A72" s="38"/>
      <c r="B72" s="63" t="s">
        <v>109</v>
      </c>
      <c r="C72" s="63"/>
      <c r="D72" s="64" t="s">
        <v>38</v>
      </c>
      <c r="E72" s="60">
        <v>3</v>
      </c>
      <c r="F72" s="64">
        <v>29</v>
      </c>
      <c r="G72" s="41">
        <f t="shared" si="14"/>
        <v>1704750</v>
      </c>
      <c r="H72" s="65">
        <v>75</v>
      </c>
      <c r="I72" s="41">
        <f>E72*F72*G72</f>
        <v>148313250</v>
      </c>
      <c r="J72" s="43"/>
      <c r="K72" s="61"/>
      <c r="L72" s="70"/>
      <c r="M72" s="46"/>
    </row>
    <row r="73" spans="1:13" s="47" customFormat="1" hidden="1">
      <c r="A73" s="38"/>
      <c r="B73" s="63" t="s">
        <v>110</v>
      </c>
      <c r="C73" s="63"/>
      <c r="D73" s="64" t="s">
        <v>38</v>
      </c>
      <c r="E73" s="60">
        <v>3</v>
      </c>
      <c r="F73" s="64">
        <v>30</v>
      </c>
      <c r="G73" s="41">
        <f t="shared" si="14"/>
        <v>1591100</v>
      </c>
      <c r="H73" s="65">
        <v>70</v>
      </c>
      <c r="I73" s="41">
        <f>E73*F73*G73</f>
        <v>143199000</v>
      </c>
      <c r="J73" s="43"/>
      <c r="K73" s="61"/>
      <c r="L73" s="70"/>
      <c r="M73" s="46"/>
    </row>
    <row r="74" spans="1:13" s="37" customFormat="1" ht="111.75" customHeight="1">
      <c r="A74" s="55">
        <v>7.3</v>
      </c>
      <c r="B74" s="28" t="s">
        <v>111</v>
      </c>
      <c r="C74" s="29" t="s">
        <v>112</v>
      </c>
      <c r="D74" s="30" t="s">
        <v>22</v>
      </c>
      <c r="E74" s="30">
        <v>1</v>
      </c>
      <c r="F74" s="30">
        <v>1</v>
      </c>
      <c r="G74" s="31"/>
      <c r="H74" s="31"/>
      <c r="I74" s="32">
        <f>SUM(I75:I80)</f>
        <v>31550000</v>
      </c>
      <c r="J74" s="33">
        <f>ROUND(I74/22730,2)</f>
        <v>1388.03</v>
      </c>
      <c r="K74" s="34" t="s">
        <v>23</v>
      </c>
      <c r="L74" s="56" t="s">
        <v>113</v>
      </c>
      <c r="M74" s="36" t="s">
        <v>25</v>
      </c>
    </row>
    <row r="75" spans="1:13" s="47" customFormat="1" ht="30" hidden="1">
      <c r="A75" s="38"/>
      <c r="B75" s="39" t="s">
        <v>26</v>
      </c>
      <c r="C75" s="39"/>
      <c r="D75" s="40" t="s">
        <v>27</v>
      </c>
      <c r="E75" s="40">
        <v>1</v>
      </c>
      <c r="F75" s="40">
        <v>1</v>
      </c>
      <c r="G75" s="41">
        <v>8000000</v>
      </c>
      <c r="H75" s="42"/>
      <c r="I75" s="41">
        <f>+E75*F75*G75</f>
        <v>8000000</v>
      </c>
      <c r="J75" s="43"/>
      <c r="K75" s="44"/>
      <c r="L75" s="45"/>
      <c r="M75" s="46" t="s">
        <v>28</v>
      </c>
    </row>
    <row r="76" spans="1:13" s="48" customFormat="1" ht="30" hidden="1">
      <c r="A76" s="20"/>
      <c r="B76" s="39" t="s">
        <v>29</v>
      </c>
      <c r="C76" s="39"/>
      <c r="D76" s="40" t="s">
        <v>36</v>
      </c>
      <c r="E76" s="40">
        <v>70</v>
      </c>
      <c r="F76" s="40">
        <v>1</v>
      </c>
      <c r="G76" s="41">
        <v>50000</v>
      </c>
      <c r="H76" s="42"/>
      <c r="I76" s="41">
        <f t="shared" ref="I76" si="15">+E76*F76*G76</f>
        <v>3500000</v>
      </c>
      <c r="J76" s="43"/>
      <c r="K76" s="44"/>
      <c r="L76" s="45"/>
      <c r="M76" s="46"/>
    </row>
    <row r="77" spans="1:13" s="47" customFormat="1" hidden="1">
      <c r="A77" s="38"/>
      <c r="B77" s="39" t="s">
        <v>30</v>
      </c>
      <c r="C77" s="39"/>
      <c r="D77" s="40" t="s">
        <v>31</v>
      </c>
      <c r="E77" s="40">
        <v>70</v>
      </c>
      <c r="F77" s="40"/>
      <c r="G77" s="41">
        <v>50000</v>
      </c>
      <c r="H77" s="42"/>
      <c r="I77" s="41">
        <f>+E77*G77</f>
        <v>3500000</v>
      </c>
      <c r="J77" s="43"/>
      <c r="K77" s="44"/>
      <c r="L77" s="45"/>
      <c r="M77" s="46"/>
    </row>
    <row r="78" spans="1:13" s="48" customFormat="1" hidden="1">
      <c r="A78" s="20"/>
      <c r="B78" s="39" t="s">
        <v>32</v>
      </c>
      <c r="C78" s="39"/>
      <c r="D78" s="40" t="s">
        <v>31</v>
      </c>
      <c r="E78" s="40">
        <v>70</v>
      </c>
      <c r="F78" s="40"/>
      <c r="G78" s="41">
        <v>50000</v>
      </c>
      <c r="H78" s="42"/>
      <c r="I78" s="41">
        <f t="shared" ref="I78:I79" si="16">+E78*G78</f>
        <v>3500000</v>
      </c>
      <c r="J78" s="43"/>
      <c r="K78" s="44"/>
      <c r="L78" s="45"/>
      <c r="M78" s="46"/>
    </row>
    <row r="79" spans="1:13" s="47" customFormat="1" ht="30" hidden="1">
      <c r="A79" s="38"/>
      <c r="B79" s="39" t="s">
        <v>33</v>
      </c>
      <c r="C79" s="39"/>
      <c r="D79" s="40" t="s">
        <v>34</v>
      </c>
      <c r="E79" s="40">
        <v>1</v>
      </c>
      <c r="F79" s="40"/>
      <c r="G79" s="41">
        <v>3000000</v>
      </c>
      <c r="H79" s="42"/>
      <c r="I79" s="41">
        <f t="shared" si="16"/>
        <v>3000000</v>
      </c>
      <c r="J79" s="43"/>
      <c r="K79" s="44"/>
      <c r="L79" s="45"/>
      <c r="M79" s="46"/>
    </row>
    <row r="80" spans="1:13" s="47" customFormat="1" ht="26.25" hidden="1" customHeight="1">
      <c r="A80" s="38"/>
      <c r="B80" s="39" t="s">
        <v>35</v>
      </c>
      <c r="C80" s="39"/>
      <c r="D80" s="40" t="s">
        <v>36</v>
      </c>
      <c r="E80" s="40">
        <v>67</v>
      </c>
      <c r="F80" s="40">
        <v>1</v>
      </c>
      <c r="G80" s="41">
        <v>150000</v>
      </c>
      <c r="H80" s="42"/>
      <c r="I80" s="41">
        <f t="shared" ref="I80" si="17">+E80*F80*G80</f>
        <v>10050000</v>
      </c>
      <c r="J80" s="43"/>
      <c r="K80" s="44"/>
      <c r="L80" s="45"/>
      <c r="M80" s="46"/>
    </row>
    <row r="81" spans="1:13" s="37" customFormat="1" ht="101.25" customHeight="1">
      <c r="A81" s="55">
        <v>7.4</v>
      </c>
      <c r="B81" s="28" t="s">
        <v>114</v>
      </c>
      <c r="C81" s="29" t="s">
        <v>115</v>
      </c>
      <c r="D81" s="30" t="s">
        <v>38</v>
      </c>
      <c r="E81" s="30">
        <v>3</v>
      </c>
      <c r="F81" s="30"/>
      <c r="G81" s="31"/>
      <c r="H81" s="31"/>
      <c r="I81" s="32">
        <f>SUM(I82:I86)</f>
        <v>156900000</v>
      </c>
      <c r="J81" s="33">
        <f>ROUND(I81/22730,2)</f>
        <v>6902.77</v>
      </c>
      <c r="K81" s="34" t="s">
        <v>23</v>
      </c>
      <c r="L81" s="56" t="s">
        <v>116</v>
      </c>
      <c r="M81" s="36"/>
    </row>
    <row r="82" spans="1:13" s="47" customFormat="1" ht="33.75" hidden="1" customHeight="1">
      <c r="A82" s="38"/>
      <c r="B82" s="51" t="s">
        <v>40</v>
      </c>
      <c r="C82" s="51"/>
      <c r="D82" s="40" t="s">
        <v>41</v>
      </c>
      <c r="E82" s="40">
        <v>3</v>
      </c>
      <c r="F82" s="40"/>
      <c r="G82" s="41">
        <v>27000000</v>
      </c>
      <c r="H82" s="42"/>
      <c r="I82" s="41">
        <f>+E82*G82</f>
        <v>81000000</v>
      </c>
      <c r="J82" s="43"/>
      <c r="K82" s="44"/>
      <c r="L82" s="52"/>
      <c r="M82" s="46" t="s">
        <v>55</v>
      </c>
    </row>
    <row r="83" spans="1:13" s="47" customFormat="1" ht="49.5" hidden="1" customHeight="1">
      <c r="A83" s="38"/>
      <c r="B83" s="51" t="s">
        <v>43</v>
      </c>
      <c r="C83" s="51"/>
      <c r="D83" s="40" t="s">
        <v>38</v>
      </c>
      <c r="E83" s="40">
        <v>2</v>
      </c>
      <c r="F83" s="40"/>
      <c r="G83" s="41">
        <v>1000000</v>
      </c>
      <c r="H83" s="42"/>
      <c r="I83" s="41">
        <f>+E83*G83</f>
        <v>2000000</v>
      </c>
      <c r="J83" s="43"/>
      <c r="K83" s="44"/>
      <c r="L83" s="52"/>
      <c r="M83" s="46"/>
    </row>
    <row r="84" spans="1:13" s="48" customFormat="1" ht="35.25" hidden="1" customHeight="1">
      <c r="A84" s="20"/>
      <c r="B84" s="51" t="s">
        <v>95</v>
      </c>
      <c r="C84" s="51"/>
      <c r="D84" s="40" t="s">
        <v>45</v>
      </c>
      <c r="E84" s="40">
        <v>2</v>
      </c>
      <c r="F84" s="40">
        <v>8</v>
      </c>
      <c r="G84" s="41">
        <v>1000000</v>
      </c>
      <c r="H84" s="42"/>
      <c r="I84" s="41">
        <f>+E84*G84*F84</f>
        <v>16000000</v>
      </c>
      <c r="J84" s="43"/>
      <c r="K84" s="44"/>
      <c r="L84" s="52"/>
      <c r="M84" s="46"/>
    </row>
    <row r="85" spans="1:13" s="48" customFormat="1" ht="17.25" hidden="1" customHeight="1">
      <c r="A85" s="20"/>
      <c r="B85" s="53" t="s">
        <v>46</v>
      </c>
      <c r="C85" s="53"/>
      <c r="D85" s="40" t="s">
        <v>36</v>
      </c>
      <c r="E85" s="40">
        <v>3</v>
      </c>
      <c r="F85" s="40">
        <v>9</v>
      </c>
      <c r="G85" s="41">
        <v>1700000</v>
      </c>
      <c r="H85" s="42"/>
      <c r="I85" s="41">
        <f>+E85*F85*G85</f>
        <v>45900000</v>
      </c>
      <c r="J85" s="43"/>
      <c r="K85" s="44"/>
      <c r="L85" s="52"/>
      <c r="M85" s="46"/>
    </row>
    <row r="86" spans="1:13" s="47" customFormat="1" ht="30" hidden="1">
      <c r="A86" s="38"/>
      <c r="B86" s="53" t="s">
        <v>47</v>
      </c>
      <c r="C86" s="53"/>
      <c r="D86" s="40" t="s">
        <v>36</v>
      </c>
      <c r="E86" s="40">
        <v>3</v>
      </c>
      <c r="F86" s="40">
        <v>10</v>
      </c>
      <c r="G86" s="41">
        <v>400000</v>
      </c>
      <c r="H86" s="42"/>
      <c r="I86" s="41">
        <f>+E86*F86*G86</f>
        <v>12000000</v>
      </c>
      <c r="J86" s="43"/>
      <c r="K86" s="44"/>
      <c r="L86" s="52"/>
      <c r="M86" s="46"/>
    </row>
    <row r="87" spans="1:13" s="26" customFormat="1" ht="33.75" customHeight="1">
      <c r="A87" s="20" t="s">
        <v>117</v>
      </c>
      <c r="B87" s="21" t="s">
        <v>118</v>
      </c>
      <c r="C87" s="22" t="s">
        <v>119</v>
      </c>
      <c r="D87" s="17"/>
      <c r="E87" s="17"/>
      <c r="F87" s="17"/>
      <c r="G87" s="42"/>
      <c r="H87" s="42"/>
      <c r="I87" s="23">
        <f>SUM(I88)</f>
        <v>1411169320</v>
      </c>
      <c r="J87" s="24">
        <f>SUM(J88)</f>
        <v>62084</v>
      </c>
      <c r="K87" s="23"/>
      <c r="L87" s="21" t="s">
        <v>120</v>
      </c>
      <c r="M87" s="17"/>
    </row>
    <row r="88" spans="1:13" s="37" customFormat="1" ht="172.5" customHeight="1">
      <c r="A88" s="27">
        <v>8.1</v>
      </c>
      <c r="B88" s="28" t="s">
        <v>121</v>
      </c>
      <c r="C88" s="36"/>
      <c r="D88" s="30" t="s">
        <v>31</v>
      </c>
      <c r="E88" s="30">
        <v>1</v>
      </c>
      <c r="F88" s="30"/>
      <c r="G88" s="31"/>
      <c r="H88" s="31"/>
      <c r="I88" s="32">
        <f>ROUND(SUM(I89:I98),0)</f>
        <v>1411169320</v>
      </c>
      <c r="J88" s="33">
        <f>ROUND(SUM(J89:J98),2)</f>
        <v>62084</v>
      </c>
      <c r="K88" s="71" t="s">
        <v>122</v>
      </c>
      <c r="L88" s="56" t="s">
        <v>123</v>
      </c>
      <c r="M88" s="69" t="s">
        <v>124</v>
      </c>
    </row>
    <row r="89" spans="1:13" s="47" customFormat="1" ht="155.25" hidden="1" customHeight="1">
      <c r="A89" s="38"/>
      <c r="B89" s="72" t="s">
        <v>125</v>
      </c>
      <c r="C89" s="39"/>
      <c r="D89" s="40" t="s">
        <v>31</v>
      </c>
      <c r="E89" s="40">
        <v>1</v>
      </c>
      <c r="F89" s="40"/>
      <c r="G89" s="41">
        <f>'[1]Annex 3'!$G$89</f>
        <v>385046200</v>
      </c>
      <c r="H89" s="61">
        <v>16940</v>
      </c>
      <c r="I89" s="42">
        <f>G89*E89</f>
        <v>385046200</v>
      </c>
      <c r="J89" s="43">
        <f>I89/22730</f>
        <v>16940</v>
      </c>
      <c r="K89" s="44"/>
      <c r="L89" s="52"/>
      <c r="M89" s="46" t="s">
        <v>126</v>
      </c>
    </row>
    <row r="90" spans="1:13" s="47" customFormat="1" ht="81" hidden="1" customHeight="1">
      <c r="A90" s="38"/>
      <c r="B90" s="73" t="s">
        <v>127</v>
      </c>
      <c r="C90" s="39"/>
      <c r="D90" s="40" t="s">
        <v>31</v>
      </c>
      <c r="E90" s="74">
        <v>6</v>
      </c>
      <c r="F90" s="74"/>
      <c r="G90" s="41">
        <f>'[1]Annex 3'!$G$90</f>
        <v>155893705</v>
      </c>
      <c r="H90" s="61">
        <v>5445</v>
      </c>
      <c r="I90" s="42">
        <f>G90*E90</f>
        <v>935362230</v>
      </c>
      <c r="J90" s="43">
        <f>I90/22730</f>
        <v>41151</v>
      </c>
      <c r="K90" s="44"/>
      <c r="L90" s="52"/>
      <c r="M90" s="46"/>
    </row>
    <row r="91" spans="1:13" s="47" customFormat="1" ht="39.75" hidden="1" customHeight="1">
      <c r="A91" s="38"/>
      <c r="B91" s="73" t="s">
        <v>128</v>
      </c>
      <c r="C91" s="39"/>
      <c r="D91" s="40" t="s">
        <v>31</v>
      </c>
      <c r="E91" s="74">
        <v>1</v>
      </c>
      <c r="F91" s="74"/>
      <c r="G91" s="41">
        <f>'[1]Annex 3'!$G$91</f>
        <v>7000840</v>
      </c>
      <c r="H91" s="61">
        <v>1210</v>
      </c>
      <c r="I91" s="42">
        <f t="shared" ref="I91:I94" si="18">G91*E91</f>
        <v>7000840</v>
      </c>
      <c r="J91" s="43">
        <f>I91/22730</f>
        <v>308</v>
      </c>
      <c r="K91" s="44"/>
      <c r="L91" s="52"/>
      <c r="M91" s="46"/>
    </row>
    <row r="92" spans="1:13" s="47" customFormat="1" ht="51" hidden="1" customHeight="1">
      <c r="A92" s="38"/>
      <c r="B92" s="73" t="s">
        <v>129</v>
      </c>
      <c r="C92" s="39"/>
      <c r="D92" s="40" t="s">
        <v>31</v>
      </c>
      <c r="E92" s="74">
        <v>1</v>
      </c>
      <c r="F92" s="74"/>
      <c r="G92" s="41">
        <f>'[1]Annex 3'!$G$92</f>
        <v>68883265</v>
      </c>
      <c r="H92" s="61">
        <v>151.80000000000001</v>
      </c>
      <c r="I92" s="42">
        <f t="shared" si="18"/>
        <v>68883265</v>
      </c>
      <c r="J92" s="43">
        <f t="shared" ref="J92:J94" si="19">I92/22730</f>
        <v>3030.5</v>
      </c>
      <c r="K92" s="44"/>
      <c r="L92" s="52"/>
      <c r="M92" s="46"/>
    </row>
    <row r="93" spans="1:13" s="47" customFormat="1" ht="30.75" hidden="1" customHeight="1">
      <c r="A93" s="38"/>
      <c r="B93" s="73" t="s">
        <v>130</v>
      </c>
      <c r="C93" s="39"/>
      <c r="D93" s="40" t="s">
        <v>31</v>
      </c>
      <c r="E93" s="40">
        <v>1</v>
      </c>
      <c r="F93" s="40"/>
      <c r="G93" s="41">
        <f>'[1]Annex 3'!$G$93</f>
        <v>12376485</v>
      </c>
      <c r="H93" s="61">
        <v>6858.5</v>
      </c>
      <c r="I93" s="42">
        <f t="shared" si="18"/>
        <v>12376485</v>
      </c>
      <c r="J93" s="43">
        <f t="shared" si="19"/>
        <v>544.5</v>
      </c>
      <c r="K93" s="44"/>
      <c r="L93" s="52"/>
      <c r="M93" s="46"/>
    </row>
    <row r="94" spans="1:13" s="47" customFormat="1" ht="37.5" hidden="1" customHeight="1">
      <c r="A94" s="38"/>
      <c r="B94" s="73" t="s">
        <v>131</v>
      </c>
      <c r="C94" s="39"/>
      <c r="D94" s="40" t="s">
        <v>31</v>
      </c>
      <c r="E94" s="75">
        <v>1</v>
      </c>
      <c r="F94" s="75"/>
      <c r="G94" s="41">
        <f>'[1]Annex 3'!$G$94</f>
        <v>2500300</v>
      </c>
      <c r="H94" s="61">
        <v>312.39999999999998</v>
      </c>
      <c r="I94" s="42">
        <f t="shared" si="18"/>
        <v>2500300</v>
      </c>
      <c r="J94" s="43">
        <f t="shared" si="19"/>
        <v>110</v>
      </c>
      <c r="K94" s="44"/>
      <c r="L94" s="52"/>
      <c r="M94" s="46"/>
    </row>
    <row r="95" spans="1:13" s="47" customFormat="1" ht="78.75" hidden="1" customHeight="1">
      <c r="A95" s="38"/>
      <c r="B95" s="39"/>
      <c r="C95" s="39"/>
      <c r="D95" s="40"/>
      <c r="E95" s="75"/>
      <c r="F95" s="75"/>
      <c r="G95" s="41"/>
      <c r="H95" s="61"/>
      <c r="I95" s="42"/>
      <c r="J95" s="43"/>
      <c r="K95" s="44"/>
      <c r="L95" s="52"/>
      <c r="M95" s="46"/>
    </row>
    <row r="96" spans="1:13" s="47" customFormat="1" ht="45.75" hidden="1" customHeight="1">
      <c r="A96" s="38"/>
      <c r="B96" s="39"/>
      <c r="C96" s="39"/>
      <c r="D96" s="40"/>
      <c r="E96" s="75"/>
      <c r="F96" s="75"/>
      <c r="G96" s="41"/>
      <c r="H96" s="61"/>
      <c r="I96" s="42"/>
      <c r="J96" s="43"/>
      <c r="K96" s="44"/>
      <c r="L96" s="52"/>
      <c r="M96" s="46"/>
    </row>
    <row r="97" spans="1:13" s="47" customFormat="1" ht="70.5" hidden="1" customHeight="1">
      <c r="A97" s="38"/>
      <c r="B97" s="39"/>
      <c r="C97" s="39"/>
      <c r="D97" s="40"/>
      <c r="E97" s="75"/>
      <c r="F97" s="75"/>
      <c r="G97" s="41"/>
      <c r="H97" s="61"/>
      <c r="I97" s="42"/>
      <c r="J97" s="43"/>
      <c r="K97" s="44"/>
      <c r="L97" s="52"/>
      <c r="M97" s="46"/>
    </row>
    <row r="98" spans="1:13" s="47" customFormat="1" ht="42.75" hidden="1" customHeight="1">
      <c r="A98" s="38"/>
      <c r="B98" s="39"/>
      <c r="C98" s="39"/>
      <c r="D98" s="40"/>
      <c r="E98" s="75"/>
      <c r="F98" s="75"/>
      <c r="G98" s="41"/>
      <c r="H98" s="61"/>
      <c r="I98" s="42"/>
      <c r="J98" s="43"/>
      <c r="K98" s="44"/>
      <c r="L98" s="52"/>
      <c r="M98" s="46"/>
    </row>
    <row r="99" spans="1:13" s="2" customFormat="1">
      <c r="A99" s="20"/>
      <c r="B99" s="17" t="s">
        <v>132</v>
      </c>
      <c r="C99" s="17"/>
      <c r="D99" s="17"/>
      <c r="E99" s="17"/>
      <c r="F99" s="17"/>
      <c r="G99" s="23"/>
      <c r="H99" s="23"/>
      <c r="I99" s="24">
        <f>SUM(I87,I52,I51,I50,I36,I35,I21,I7)</f>
        <v>4023226322.8000002</v>
      </c>
      <c r="J99" s="24">
        <f>SUM(J87,J52,J51,J50,J36,J35,J21,J7)</f>
        <v>177000.7087109547</v>
      </c>
      <c r="K99" s="23"/>
      <c r="L99" s="76"/>
      <c r="M99" s="77"/>
    </row>
    <row r="100" spans="1:13" ht="21.75" customHeight="1">
      <c r="A100" s="78" t="s">
        <v>133</v>
      </c>
      <c r="M100" s="85"/>
    </row>
    <row r="102" spans="1:13">
      <c r="B102" s="45" t="s">
        <v>134</v>
      </c>
      <c r="C102" s="45"/>
      <c r="D102" s="45"/>
      <c r="E102" s="45"/>
      <c r="F102" s="45"/>
      <c r="G102" s="45"/>
      <c r="H102" s="45"/>
      <c r="I102" s="41">
        <f>I88</f>
        <v>1411169320</v>
      </c>
      <c r="J102" s="86">
        <f>J88</f>
        <v>62084</v>
      </c>
      <c r="K102" s="87">
        <f>J102/$J$99</f>
        <v>0.35075565771538392</v>
      </c>
    </row>
    <row r="103" spans="1:13">
      <c r="B103" s="45" t="s">
        <v>135</v>
      </c>
      <c r="C103" s="45"/>
      <c r="D103" s="45"/>
      <c r="E103" s="45"/>
      <c r="F103" s="45"/>
      <c r="G103" s="45"/>
      <c r="H103" s="45"/>
      <c r="I103" s="41">
        <f>I53+I65</f>
        <v>1815157002.8000002</v>
      </c>
      <c r="J103" s="89">
        <f>J53+J65</f>
        <v>79857.328710954695</v>
      </c>
      <c r="K103" s="87">
        <f t="shared" ref="K103:K105" si="20">J103/$J$99</f>
        <v>0.45116954215908328</v>
      </c>
    </row>
    <row r="104" spans="1:13">
      <c r="B104" s="45" t="s">
        <v>136</v>
      </c>
      <c r="C104" s="45"/>
      <c r="D104" s="45"/>
      <c r="E104" s="45"/>
      <c r="F104" s="45"/>
      <c r="G104" s="45"/>
      <c r="H104" s="45"/>
      <c r="I104" s="41">
        <f>I15+I22+I37+I81</f>
        <v>627600000</v>
      </c>
      <c r="J104" s="89">
        <f>J15+J22+J37+J81</f>
        <v>27611.08</v>
      </c>
      <c r="K104" s="87">
        <f t="shared" si="20"/>
        <v>0.15599417765659562</v>
      </c>
    </row>
    <row r="105" spans="1:13">
      <c r="B105" s="45" t="s">
        <v>137</v>
      </c>
      <c r="C105" s="45"/>
      <c r="D105" s="45"/>
      <c r="E105" s="45"/>
      <c r="F105" s="45"/>
      <c r="G105" s="45"/>
      <c r="H105" s="45"/>
      <c r="I105" s="41">
        <f>I8+I28+I43+I74</f>
        <v>169300000</v>
      </c>
      <c r="J105" s="89">
        <f>J8+J28+J43+J74</f>
        <v>7448.2999999999993</v>
      </c>
      <c r="K105" s="87">
        <f t="shared" si="20"/>
        <v>4.2080622468937144E-2</v>
      </c>
    </row>
    <row r="106" spans="1:13">
      <c r="I106" s="90">
        <f>SUM(I102:I105)</f>
        <v>4023226322.8000002</v>
      </c>
      <c r="J106" s="91">
        <f>SUM(J102:J105)</f>
        <v>177000.7087109547</v>
      </c>
      <c r="K106" s="92">
        <f>SUM(K102:K105)</f>
        <v>1</v>
      </c>
    </row>
    <row r="107" spans="1:13">
      <c r="I107" s="93"/>
      <c r="J107" s="94"/>
      <c r="K107" s="95"/>
    </row>
    <row r="108" spans="1:13">
      <c r="G108" s="96"/>
      <c r="H108" s="96"/>
      <c r="I108" s="6"/>
    </row>
    <row r="109" spans="1:13" s="2" customFormat="1" ht="28.5" customHeight="1">
      <c r="A109" s="48"/>
      <c r="B109" s="26"/>
      <c r="C109" s="26"/>
      <c r="D109" s="4"/>
      <c r="E109" s="4"/>
      <c r="F109" s="4"/>
      <c r="G109" s="97"/>
      <c r="H109" s="97"/>
      <c r="I109" s="6"/>
      <c r="J109" s="98"/>
      <c r="K109" s="98"/>
      <c r="M109" s="7"/>
    </row>
  </sheetData>
  <mergeCells count="45">
    <mergeCell ref="I106:I107"/>
    <mergeCell ref="J106:J107"/>
    <mergeCell ref="K106:K107"/>
    <mergeCell ref="G108:H108"/>
    <mergeCell ref="G109:H109"/>
    <mergeCell ref="L89:L98"/>
    <mergeCell ref="M89:M98"/>
    <mergeCell ref="B102:H102"/>
    <mergeCell ref="B103:H103"/>
    <mergeCell ref="B104:H104"/>
    <mergeCell ref="B105:H105"/>
    <mergeCell ref="L66:L73"/>
    <mergeCell ref="M66:M73"/>
    <mergeCell ref="L75:L80"/>
    <mergeCell ref="M75:M80"/>
    <mergeCell ref="L82:L86"/>
    <mergeCell ref="M82:M86"/>
    <mergeCell ref="L38:L42"/>
    <mergeCell ref="M38:M42"/>
    <mergeCell ref="L44:L49"/>
    <mergeCell ref="M44:M49"/>
    <mergeCell ref="L54:L64"/>
    <mergeCell ref="M54:M63"/>
    <mergeCell ref="L16:L20"/>
    <mergeCell ref="M16:M20"/>
    <mergeCell ref="L23:L27"/>
    <mergeCell ref="M23:M27"/>
    <mergeCell ref="L29:L34"/>
    <mergeCell ref="M29:M34"/>
    <mergeCell ref="I5:J5"/>
    <mergeCell ref="K5:K6"/>
    <mergeCell ref="L5:L6"/>
    <mergeCell ref="M5:M6"/>
    <mergeCell ref="L9:L14"/>
    <mergeCell ref="M9:M14"/>
    <mergeCell ref="A1:M1"/>
    <mergeCell ref="A2:M2"/>
    <mergeCell ref="A4:F4"/>
    <mergeCell ref="A5:A6"/>
    <mergeCell ref="B5:B6"/>
    <mergeCell ref="C5:C6"/>
    <mergeCell ref="D5:D6"/>
    <mergeCell ref="E5:E6"/>
    <mergeCell ref="F5:F6"/>
    <mergeCell ref="G5:H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VNU-HUS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Phan Van</dc:creator>
  <cp:lastModifiedBy>Tan Phan Van</cp:lastModifiedBy>
  <dcterms:created xsi:type="dcterms:W3CDTF">2017-11-15T01:18:10Z</dcterms:created>
  <dcterms:modified xsi:type="dcterms:W3CDTF">2017-11-15T15:28:58Z</dcterms:modified>
</cp:coreProperties>
</file>